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60" windowWidth="18885" windowHeight="12390" firstSheet="1" activeTab="1"/>
  </bookViews>
  <sheets>
    <sheet name="Data sheet" sheetId="1" r:id="rId1"/>
    <sheet name="Pump cal" sheetId="2" r:id="rId2"/>
  </sheets>
  <definedNames/>
  <calcPr fullCalcOnLoad="1"/>
</workbook>
</file>

<file path=xl/sharedStrings.xml><?xml version="1.0" encoding="utf-8"?>
<sst xmlns="http://schemas.openxmlformats.org/spreadsheetml/2006/main" count="246" uniqueCount="197">
  <si>
    <t>mm</t>
  </si>
  <si>
    <t>Glove valve,open</t>
  </si>
  <si>
    <t>G</t>
  </si>
  <si>
    <t>kg/h</t>
  </si>
  <si>
    <t>Q</t>
  </si>
  <si>
    <t>m3/h</t>
  </si>
  <si>
    <t>Survice name</t>
  </si>
  <si>
    <t>kPa</t>
  </si>
  <si>
    <t>kg/cm2abs</t>
  </si>
  <si>
    <t>kg/cm2G</t>
  </si>
  <si>
    <t>kg/cm2</t>
  </si>
  <si>
    <t>m</t>
  </si>
  <si>
    <t>d</t>
  </si>
  <si>
    <t>mm</t>
  </si>
  <si>
    <t>ε</t>
  </si>
  <si>
    <t>v</t>
  </si>
  <si>
    <t>Re No.</t>
  </si>
  <si>
    <t>Re</t>
  </si>
  <si>
    <t>Total length/straight length</t>
  </si>
  <si>
    <t>90°ell,standard</t>
  </si>
  <si>
    <t>45°ell,standard</t>
  </si>
  <si>
    <t>Tee,standard,along run</t>
  </si>
  <si>
    <t>Tee,used as ell,entering run</t>
  </si>
  <si>
    <t>180°bend,close return</t>
  </si>
  <si>
    <t>Chech valve,swing</t>
  </si>
  <si>
    <t>Gate valve,open</t>
  </si>
  <si>
    <t>Butterfly valve,θ=10°</t>
  </si>
  <si>
    <t>Angle valve,open</t>
  </si>
  <si>
    <t>Sudden enlargement</t>
  </si>
  <si>
    <t>Sudden contraction</t>
  </si>
  <si>
    <t>diaphram valve,3/4 open</t>
  </si>
  <si>
    <t>diaphram valve,1/2 open</t>
  </si>
  <si>
    <t>diaphram valve,1/4 open</t>
  </si>
  <si>
    <t>Glove valve,3/4 open</t>
  </si>
  <si>
    <t>Glove valve,1/2 open</t>
  </si>
  <si>
    <t>Glove valve,1/4 open</t>
  </si>
  <si>
    <t>A</t>
  </si>
  <si>
    <t>%</t>
  </si>
  <si>
    <t>kPaA</t>
  </si>
  <si>
    <t>kPaG</t>
  </si>
  <si>
    <t>m/s＜25</t>
  </si>
  <si>
    <t>Pump performance</t>
  </si>
  <si>
    <t>Pressure drop calculation</t>
  </si>
  <si>
    <t>Piping information</t>
  </si>
  <si>
    <t>流量：Flow rate</t>
  </si>
  <si>
    <t>温度：Temperature</t>
  </si>
  <si>
    <t>密度；Density</t>
  </si>
  <si>
    <t>粘度：viscosity</t>
  </si>
  <si>
    <t>蒸気圧：Vapor pressure</t>
  </si>
  <si>
    <t>基本仕様：Basic specifications</t>
  </si>
  <si>
    <t>流体：Fluid</t>
  </si>
  <si>
    <t>水</t>
  </si>
  <si>
    <t>Ps</t>
  </si>
  <si>
    <t>℃</t>
  </si>
  <si>
    <t>kg/m3</t>
  </si>
  <si>
    <t>mPa*s=cP</t>
  </si>
  <si>
    <t>kPa</t>
  </si>
  <si>
    <r>
      <t>P</t>
    </r>
    <r>
      <rPr>
        <vertAlign val="subscript"/>
        <sz val="10"/>
        <rFont val="HGS創英角ｺﾞｼｯｸUB"/>
        <family val="3"/>
      </rPr>
      <t>1</t>
    </r>
  </si>
  <si>
    <r>
      <t>P</t>
    </r>
    <r>
      <rPr>
        <vertAlign val="subscript"/>
        <sz val="10"/>
        <rFont val="HGS創英角ｺﾞｼｯｸUB"/>
        <family val="3"/>
      </rPr>
      <t>2</t>
    </r>
  </si>
  <si>
    <t xml:space="preserve">吸込および吐出圧力：
Suction &amp; discharge pressure </t>
  </si>
  <si>
    <t>吸込および吐出最高圧力：
Maximum pressure</t>
  </si>
  <si>
    <t>圧力計算（１）：
Pressure excluding pres. drop</t>
  </si>
  <si>
    <t>圧力計算（２）：
Pressure including pres. drop</t>
  </si>
  <si>
    <t>機器高さ：Equipment elevation</t>
  </si>
  <si>
    <t>通常液面高さ：Liquid height @ normal</t>
  </si>
  <si>
    <t>最高液面高さ：Liquid height @ maximum</t>
  </si>
  <si>
    <t>圧力損失：Pressure drop</t>
  </si>
  <si>
    <t>配管内径：Internal diameter</t>
  </si>
  <si>
    <t>配管粗さ：Wall roughness</t>
  </si>
  <si>
    <t>流速：Velocity</t>
  </si>
  <si>
    <t>機器圧損：Equipment</t>
  </si>
  <si>
    <t>ストレーナ圧損：Strainer</t>
  </si>
  <si>
    <t>制御弁圧損：Control valve</t>
  </si>
  <si>
    <t>流量計圧損：Flow meter</t>
  </si>
  <si>
    <t>配管系圧損：Piping</t>
  </si>
  <si>
    <t>圧損合計：Total pressure drop</t>
  </si>
  <si>
    <t>摩擦係数：Friction factor</t>
  </si>
  <si>
    <t>90°エルボ</t>
  </si>
  <si>
    <t>45°エルボ</t>
  </si>
  <si>
    <t>逆止弁</t>
  </si>
  <si>
    <t>バタフライ弁</t>
  </si>
  <si>
    <t>拡大</t>
  </si>
  <si>
    <t>縮小</t>
  </si>
  <si>
    <t>アングル弁</t>
  </si>
  <si>
    <t>仕切り弁</t>
  </si>
  <si>
    <t>玉形弁</t>
  </si>
  <si>
    <t>Uベンド</t>
  </si>
  <si>
    <t>機器圧力：Equipment normal pressure</t>
  </si>
  <si>
    <t>機器最高圧力：Equipment maximum pressure</t>
  </si>
  <si>
    <t>Fitting</t>
  </si>
  <si>
    <t>ティー（直線）</t>
  </si>
  <si>
    <t>ティー（曲がり）</t>
  </si>
  <si>
    <t>直管長圧損</t>
  </si>
  <si>
    <t>fitting圧損</t>
  </si>
  <si>
    <t>配管長さ：Piping length</t>
  </si>
  <si>
    <t>吸込側：Suction</t>
  </si>
  <si>
    <t>吐出側：Discharge</t>
  </si>
  <si>
    <t>最大流量</t>
  </si>
  <si>
    <t>通常流量</t>
  </si>
  <si>
    <t>Power</t>
  </si>
  <si>
    <t>推定効率：Estimated efficiency</t>
  </si>
  <si>
    <t>kW</t>
  </si>
  <si>
    <t>モーター動力：Motor power</t>
  </si>
  <si>
    <t>揚程範囲15～91m
流量範囲23～227m3/h</t>
  </si>
  <si>
    <t>安全係数｜余裕度</t>
  </si>
  <si>
    <t>モータ出力</t>
  </si>
  <si>
    <t>逆数</t>
  </si>
  <si>
    <t>Motor</t>
  </si>
  <si>
    <t>呼び径</t>
  </si>
  <si>
    <t>JIS外径</t>
  </si>
  <si>
    <t>肉厚</t>
  </si>
  <si>
    <t>内径</t>
  </si>
  <si>
    <t>B</t>
  </si>
  <si>
    <t>A</t>
  </si>
  <si>
    <r>
      <t>h</t>
    </r>
    <r>
      <rPr>
        <vertAlign val="subscript"/>
        <sz val="10"/>
        <rFont val="HGS創英角ｺﾞｼｯｸUB"/>
        <family val="3"/>
      </rPr>
      <t>max.</t>
    </r>
  </si>
  <si>
    <t>h</t>
  </si>
  <si>
    <t>配管径（公称）</t>
  </si>
  <si>
    <t>直管部等価長</t>
  </si>
  <si>
    <t>配管継手部等価長：Fitting total losses</t>
  </si>
  <si>
    <t>等価長合計：Equivalent length</t>
  </si>
  <si>
    <t>N</t>
  </si>
  <si>
    <t>軸馬力（計算値｜設定値）：Shaft power</t>
  </si>
  <si>
    <t>velocity head K</t>
  </si>
  <si>
    <t>45°ell,standard</t>
  </si>
  <si>
    <t>45°ell,long radius</t>
  </si>
  <si>
    <t>90°ell,standard</t>
  </si>
  <si>
    <t>90°ell,long radius</t>
  </si>
  <si>
    <t>90°ell,square</t>
  </si>
  <si>
    <t>180°bend,close return</t>
  </si>
  <si>
    <t>Tee,standard,along run</t>
  </si>
  <si>
    <t>Tee,used as ell,entering run</t>
  </si>
  <si>
    <t>Tee,used as ell,entering branch</t>
  </si>
  <si>
    <t>Gate valve,open</t>
  </si>
  <si>
    <t>Gate valve,3/4 open</t>
  </si>
  <si>
    <t>Gate valve,1/2 open</t>
  </si>
  <si>
    <t>Gate valve,1/4 open</t>
  </si>
  <si>
    <t>Diaphram valve,open</t>
  </si>
  <si>
    <t>Angle valve,open</t>
  </si>
  <si>
    <t>Butterfly valve,θ=5°</t>
  </si>
  <si>
    <t>Butterfly valve,θ=10°</t>
  </si>
  <si>
    <t>Butterfly valve,θ=20°</t>
  </si>
  <si>
    <t>Butterfly valve,θ=40°</t>
  </si>
  <si>
    <t>Butterfly valve,θ=60°</t>
  </si>
  <si>
    <t>Chech valve,swing</t>
  </si>
  <si>
    <t>Chech valve,disc</t>
  </si>
  <si>
    <t>Chech valve,ball</t>
  </si>
  <si>
    <t>Foot valve</t>
  </si>
  <si>
    <t>Sudden enlargement</t>
  </si>
  <si>
    <t>Sudden contraction</t>
  </si>
  <si>
    <t>H</t>
  </si>
  <si>
    <t>余裕：Safety factor for head=design/calculated</t>
  </si>
  <si>
    <t>揚程（計算値｜設計値）：Head</t>
  </si>
  <si>
    <t>NPSHA（計算値）</t>
  </si>
  <si>
    <t>t</t>
  </si>
  <si>
    <t>μ</t>
  </si>
  <si>
    <t>ρ</t>
  </si>
  <si>
    <t>vp</t>
  </si>
  <si>
    <t>Pq</t>
  </si>
  <si>
    <r>
      <t>Pq</t>
    </r>
    <r>
      <rPr>
        <vertAlign val="subscript"/>
        <sz val="10"/>
        <rFont val="HGS創英角ｺﾞｼｯｸUB"/>
        <family val="3"/>
      </rPr>
      <t>max.</t>
    </r>
  </si>
  <si>
    <r>
      <t>Ps</t>
    </r>
    <r>
      <rPr>
        <vertAlign val="subscript"/>
        <sz val="10"/>
        <rFont val="HGS創英角ｺﾞｼｯｸUB"/>
        <family val="3"/>
      </rPr>
      <t>max.</t>
    </r>
  </si>
  <si>
    <t>（１）流量を入力</t>
  </si>
  <si>
    <t>入力手順（注意事項）</t>
  </si>
  <si>
    <t>（２）密度を入力</t>
  </si>
  <si>
    <t>（？）温度は計算には使用していない</t>
  </si>
  <si>
    <t>（？）計算結果をもとに余裕20%確保できるように設計値を入力</t>
  </si>
  <si>
    <t>（３）粘度を入力</t>
  </si>
  <si>
    <t>（４）蒸気圧を入力</t>
  </si>
  <si>
    <t>（５）機器圧力を入力（参考図のSuction Drum圧）</t>
  </si>
  <si>
    <t>（６）機器の最高運転圧力を入力</t>
  </si>
  <si>
    <t>（？）液面高さより計算</t>
  </si>
  <si>
    <t>dp</t>
  </si>
  <si>
    <t>dp1</t>
  </si>
  <si>
    <t>dp2</t>
  </si>
  <si>
    <t>dp3</t>
  </si>
  <si>
    <t>dp4</t>
  </si>
  <si>
    <t>dp51</t>
  </si>
  <si>
    <t>dp52</t>
  </si>
  <si>
    <t>dp5</t>
  </si>
  <si>
    <t>dpt</t>
  </si>
  <si>
    <t>f</t>
  </si>
  <si>
    <t>ls</t>
  </si>
  <si>
    <t>Fi</t>
  </si>
  <si>
    <t>Ki</t>
  </si>
  <si>
    <t>KiFi</t>
  </si>
  <si>
    <t>（７）通常の液面高さ(N.L.L)入力</t>
  </si>
  <si>
    <t>（８）最高の液面高さ(H.L.L)入力</t>
  </si>
  <si>
    <t>（９）配管公称径を入力</t>
  </si>
  <si>
    <t>（？）配管公称径より自動入力</t>
  </si>
  <si>
    <t>（１０）機器の圧損を入力</t>
  </si>
  <si>
    <t>（１１）ストレーナの圧損を入力</t>
  </si>
  <si>
    <t>（１３）流量計の圧損を入力</t>
  </si>
  <si>
    <t>（１２）制御弁の圧損を入力</t>
  </si>
  <si>
    <t>（１４）直管長さを入力</t>
  </si>
  <si>
    <t>（？）速度ヘッドと個数のかけ算</t>
  </si>
  <si>
    <t>継手、fittingの速度係数</t>
  </si>
  <si>
    <t>（１５）各継手、fitting数を入力、速度係数は自動入力。</t>
  </si>
  <si>
    <t>（？）通常流量時で20%の余裕が望ましい。最大流量では余裕5%以上が望ましい。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</si>
</sst>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#,##0.0;[Red]\-#,##0.0"/>
    <numFmt numFmtId="180" formatCode="#,##0.000;[Red]\-#,##0.000"/>
    <numFmt numFmtId="181" formatCode="#,##0.000"/>
    <numFmt numFmtId="182" formatCode="#,##0.0"/>
    <numFmt numFmtId="183" formatCode="#,##0.0000;[Red]\-#,##0.0000"/>
    <numFmt numFmtId="184" formatCode="0.00000"/>
    <numFmt numFmtId="185" formatCode="0.000_);[Red]\(0.000\)"/>
    <numFmt numFmtId="186" formatCode="#,##0.00_ ;[Red]\-#,##0.00\ "/>
    <numFmt numFmtId="187" formatCode="0.0_);[Red]\(0.0\)"/>
    <numFmt numFmtId="188" formatCode="0.000000000_);[Red]\(0.000000000\)"/>
    <numFmt numFmtId="189" formatCode="0.000000000000_);[Red]\(0.000000000000\)"/>
    <numFmt numFmtId="190" formatCode="0.0_ "/>
    <numFmt numFmtId="191" formatCode="#,##0.000_ ;[Red]\-#,##0.000\ "/>
    <numFmt numFmtId="192" formatCode="0.0%"/>
    <numFmt numFmtId="193" formatCode="0.00_ "/>
    <numFmt numFmtId="194" formatCode="0.00E+0\6"/>
    <numFmt numFmtId="195" formatCode="0.00_);[Red]\(0.00\)"/>
    <numFmt numFmtId="196" formatCode="#,##0.0_ "/>
    <numFmt numFmtId="197" formatCode="#,##0.00_ "/>
  </numFmts>
  <fonts count="46">
    <font>
      <sz val="9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2.25"/>
      <name val="ＭＳ Ｐゴシック"/>
      <family val="3"/>
    </font>
    <font>
      <sz val="10"/>
      <name val="HGS創英角ｺﾞｼｯｸUB"/>
      <family val="3"/>
    </font>
    <font>
      <vertAlign val="subscript"/>
      <sz val="10"/>
      <name val="HGS創英角ｺﾞｼｯｸUB"/>
      <family val="3"/>
    </font>
    <font>
      <sz val="8"/>
      <name val="HGS創英角ｺﾞｼｯｸUB"/>
      <family val="3"/>
    </font>
    <font>
      <sz val="14"/>
      <name val="Terminal"/>
      <family val="0"/>
    </font>
    <font>
      <i/>
      <sz val="10"/>
      <name val="HGS創英角ｺﾞｼｯｸUB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2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9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6" fillId="0" borderId="0" xfId="62" applyFont="1" applyFill="1" applyBorder="1" applyAlignment="1">
      <alignment/>
      <protection/>
    </xf>
    <xf numFmtId="176" fontId="6" fillId="0" borderId="0" xfId="62" applyNumberFormat="1" applyFont="1" applyFill="1" applyBorder="1" applyAlignment="1">
      <alignment/>
      <protection/>
    </xf>
    <xf numFmtId="0" fontId="6" fillId="33" borderId="10" xfId="62" applyFont="1" applyFill="1" applyBorder="1" applyAlignment="1">
      <alignment wrapText="1"/>
      <protection/>
    </xf>
    <xf numFmtId="38" fontId="6" fillId="33" borderId="10" xfId="49" applyFont="1" applyFill="1" applyBorder="1" applyAlignment="1">
      <alignment horizontal="center" vertical="center" wrapText="1"/>
    </xf>
    <xf numFmtId="0" fontId="6" fillId="0" borderId="0" xfId="62" applyFont="1" applyFill="1" applyBorder="1" applyAlignment="1">
      <alignment wrapText="1"/>
      <protection/>
    </xf>
    <xf numFmtId="40" fontId="6" fillId="33" borderId="10" xfId="49" applyNumberFormat="1" applyFont="1" applyFill="1" applyBorder="1" applyAlignment="1">
      <alignment horizontal="left" vertical="center" wrapText="1"/>
    </xf>
    <xf numFmtId="40" fontId="6" fillId="0" borderId="10" xfId="49" applyNumberFormat="1" applyFont="1" applyFill="1" applyBorder="1" applyAlignment="1">
      <alignment horizontal="right" vertical="center" wrapText="1"/>
    </xf>
    <xf numFmtId="0" fontId="6" fillId="33" borderId="10" xfId="62" applyFont="1" applyFill="1" applyBorder="1" applyAlignment="1">
      <alignment vertical="center"/>
      <protection/>
    </xf>
    <xf numFmtId="0" fontId="6" fillId="33" borderId="10" xfId="62" applyFont="1" applyFill="1" applyBorder="1" applyAlignment="1">
      <alignment horizontal="left" vertical="center" indent="1"/>
      <protection/>
    </xf>
    <xf numFmtId="40" fontId="6" fillId="34" borderId="10" xfId="49" applyNumberFormat="1" applyFont="1" applyFill="1" applyBorder="1" applyAlignment="1">
      <alignment horizontal="right" vertical="center" wrapText="1"/>
    </xf>
    <xf numFmtId="0" fontId="6" fillId="0" borderId="10" xfId="62" applyFont="1" applyFill="1" applyBorder="1" applyAlignment="1">
      <alignment/>
      <protection/>
    </xf>
    <xf numFmtId="192" fontId="6" fillId="0" borderId="10" xfId="42" applyNumberFormat="1" applyFont="1" applyFill="1" applyBorder="1" applyAlignment="1">
      <alignment/>
    </xf>
    <xf numFmtId="179" fontId="6" fillId="0" borderId="10" xfId="49" applyNumberFormat="1" applyFont="1" applyFill="1" applyBorder="1" applyAlignment="1">
      <alignment horizontal="right" vertical="center" wrapText="1"/>
    </xf>
    <xf numFmtId="179" fontId="6" fillId="0" borderId="10" xfId="49" applyNumberFormat="1" applyFont="1" applyFill="1" applyBorder="1" applyAlignment="1">
      <alignment horizontal="center" vertical="center" wrapText="1"/>
    </xf>
    <xf numFmtId="38" fontId="6" fillId="34" borderId="10" xfId="49" applyNumberFormat="1" applyFont="1" applyFill="1" applyBorder="1" applyAlignment="1">
      <alignment horizontal="right" vertical="center" wrapText="1"/>
    </xf>
    <xf numFmtId="38" fontId="6" fillId="34" borderId="10" xfId="49" applyFont="1" applyFill="1" applyBorder="1" applyAlignment="1">
      <alignment horizontal="right" vertical="center" wrapText="1"/>
    </xf>
    <xf numFmtId="38" fontId="6" fillId="0" borderId="10" xfId="49" applyFont="1" applyFill="1" applyBorder="1" applyAlignment="1">
      <alignment horizontal="right" vertical="center" wrapText="1"/>
    </xf>
    <xf numFmtId="179" fontId="6" fillId="34" borderId="10" xfId="49" applyNumberFormat="1" applyFont="1" applyFill="1" applyBorder="1" applyAlignment="1">
      <alignment horizontal="right" vertical="center" wrapText="1"/>
    </xf>
    <xf numFmtId="0" fontId="6" fillId="33" borderId="10" xfId="62" applyFont="1" applyFill="1" applyBorder="1" applyAlignment="1">
      <alignment horizontal="left" vertical="center"/>
      <protection/>
    </xf>
    <xf numFmtId="177" fontId="6" fillId="0" borderId="10" xfId="62" applyNumberFormat="1" applyFont="1" applyFill="1" applyBorder="1" applyAlignment="1">
      <alignment vertical="center"/>
      <protection/>
    </xf>
    <xf numFmtId="181" fontId="6" fillId="0" borderId="10" xfId="49" applyNumberFormat="1" applyFont="1" applyFill="1" applyBorder="1" applyAlignment="1">
      <alignment vertical="center"/>
    </xf>
    <xf numFmtId="2" fontId="6" fillId="0" borderId="10" xfId="62" applyNumberFormat="1" applyFont="1" applyFill="1" applyBorder="1" applyAlignment="1">
      <alignment vertical="center"/>
      <protection/>
    </xf>
    <xf numFmtId="40" fontId="6" fillId="0" borderId="10" xfId="49" applyNumberFormat="1" applyFont="1" applyFill="1" applyBorder="1" applyAlignment="1">
      <alignment vertical="center"/>
    </xf>
    <xf numFmtId="179" fontId="6" fillId="34" borderId="10" xfId="49" applyNumberFormat="1" applyFont="1" applyFill="1" applyBorder="1" applyAlignment="1">
      <alignment vertical="center"/>
    </xf>
    <xf numFmtId="0" fontId="6" fillId="0" borderId="10" xfId="62" applyFont="1" applyFill="1" applyBorder="1" applyAlignment="1">
      <alignment vertical="center"/>
      <protection/>
    </xf>
    <xf numFmtId="11" fontId="6" fillId="0" borderId="10" xfId="62" applyNumberFormat="1" applyFont="1" applyFill="1" applyBorder="1" applyAlignment="1">
      <alignment vertical="center"/>
      <protection/>
    </xf>
    <xf numFmtId="40" fontId="6" fillId="0" borderId="10" xfId="62" applyNumberFormat="1" applyFont="1" applyFill="1" applyBorder="1" applyAlignment="1">
      <alignment vertical="center"/>
      <protection/>
    </xf>
    <xf numFmtId="179" fontId="6" fillId="0" borderId="10" xfId="49" applyNumberFormat="1" applyFont="1" applyFill="1" applyBorder="1" applyAlignment="1">
      <alignment vertical="center"/>
    </xf>
    <xf numFmtId="2" fontId="6" fillId="0" borderId="10" xfId="62" applyNumberFormat="1" applyFont="1" applyFill="1" applyBorder="1" applyAlignment="1">
      <alignment horizontal="center" vertical="center"/>
      <protection/>
    </xf>
    <xf numFmtId="0" fontId="6" fillId="33" borderId="10" xfId="62" applyFont="1" applyFill="1" applyBorder="1" applyAlignment="1">
      <alignment horizontal="left" vertical="center" wrapText="1"/>
      <protection/>
    </xf>
    <xf numFmtId="0" fontId="6" fillId="0" borderId="10" xfId="62" applyFont="1" applyFill="1" applyBorder="1" applyAlignment="1">
      <alignment horizontal="left" vertical="center" indent="1"/>
      <protection/>
    </xf>
    <xf numFmtId="0" fontId="6" fillId="0" borderId="11" xfId="62" applyFont="1" applyFill="1" applyBorder="1" applyAlignment="1">
      <alignment horizontal="left" vertical="center" indent="1"/>
      <protection/>
    </xf>
    <xf numFmtId="0" fontId="6" fillId="0" borderId="11" xfId="62" applyFont="1" applyFill="1" applyBorder="1" applyAlignment="1">
      <alignment horizontal="left" vertical="center"/>
      <protection/>
    </xf>
    <xf numFmtId="0" fontId="6" fillId="33" borderId="11" xfId="62" applyFont="1" applyFill="1" applyBorder="1" applyAlignment="1">
      <alignment horizontal="left" vertical="center"/>
      <protection/>
    </xf>
    <xf numFmtId="0" fontId="6" fillId="33" borderId="12" xfId="62" applyFont="1" applyFill="1" applyBorder="1" applyAlignment="1">
      <alignment horizontal="left" vertical="center" wrapText="1"/>
      <protection/>
    </xf>
    <xf numFmtId="0" fontId="6" fillId="33" borderId="12" xfId="62" applyFont="1" applyFill="1" applyBorder="1" applyAlignment="1">
      <alignment horizontal="center" vertical="center" wrapText="1"/>
      <protection/>
    </xf>
    <xf numFmtId="0" fontId="6" fillId="33" borderId="10" xfId="62" applyFont="1" applyFill="1" applyBorder="1" applyAlignment="1" quotePrefix="1">
      <alignment horizontal="left" vertical="center" wrapText="1"/>
      <protection/>
    </xf>
    <xf numFmtId="0" fontId="6" fillId="33" borderId="13" xfId="62" applyFont="1" applyFill="1" applyBorder="1" applyAlignment="1">
      <alignment horizontal="left" vertical="center" wrapText="1"/>
      <protection/>
    </xf>
    <xf numFmtId="0" fontId="8" fillId="33" borderId="12" xfId="62" applyFont="1" applyFill="1" applyBorder="1" applyAlignment="1">
      <alignment horizontal="left" vertical="center" wrapText="1"/>
      <protection/>
    </xf>
    <xf numFmtId="0" fontId="6" fillId="33" borderId="12" xfId="62" applyFont="1" applyFill="1" applyBorder="1" applyAlignment="1">
      <alignment horizontal="left" vertical="center" wrapText="1" indent="1"/>
      <protection/>
    </xf>
    <xf numFmtId="0" fontId="6" fillId="35" borderId="0" xfId="61" applyFont="1" applyFill="1" applyBorder="1" applyAlignment="1">
      <alignment horizontal="center"/>
      <protection/>
    </xf>
    <xf numFmtId="0" fontId="6" fillId="35" borderId="0" xfId="61" applyFont="1" applyFill="1" applyBorder="1">
      <alignment/>
      <protection/>
    </xf>
    <xf numFmtId="177" fontId="6" fillId="35" borderId="0" xfId="61" applyNumberFormat="1" applyFont="1" applyFill="1" applyBorder="1">
      <alignment/>
      <protection/>
    </xf>
    <xf numFmtId="0" fontId="6" fillId="36" borderId="0" xfId="62" applyFont="1" applyFill="1" applyBorder="1" applyAlignment="1">
      <alignment/>
      <protection/>
    </xf>
    <xf numFmtId="0" fontId="6" fillId="36" borderId="0" xfId="62" applyFont="1" applyFill="1" applyBorder="1" applyAlignment="1">
      <alignment horizontal="center"/>
      <protection/>
    </xf>
    <xf numFmtId="197" fontId="6" fillId="0" borderId="10" xfId="49" applyNumberFormat="1" applyFont="1" applyFill="1" applyBorder="1" applyAlignment="1">
      <alignment horizontal="right" vertical="center" wrapText="1"/>
    </xf>
    <xf numFmtId="0" fontId="6" fillId="37" borderId="0" xfId="62" applyFont="1" applyFill="1" applyBorder="1" applyAlignment="1">
      <alignment/>
      <protection/>
    </xf>
    <xf numFmtId="0" fontId="6" fillId="37" borderId="0" xfId="62" applyFont="1" applyFill="1" applyBorder="1" applyAlignment="1">
      <alignment horizontal="center"/>
      <protection/>
    </xf>
    <xf numFmtId="0" fontId="6" fillId="34" borderId="10" xfId="62" applyFont="1" applyFill="1" applyBorder="1" applyAlignment="1">
      <alignment vertical="center"/>
      <protection/>
    </xf>
    <xf numFmtId="184" fontId="6" fillId="0" borderId="10" xfId="62" applyNumberFormat="1" applyFont="1" applyFill="1" applyBorder="1" applyAlignment="1">
      <alignment vertical="center"/>
      <protection/>
    </xf>
    <xf numFmtId="40" fontId="6" fillId="0" borderId="0" xfId="62" applyNumberFormat="1" applyFont="1" applyFill="1" applyBorder="1" applyAlignment="1">
      <alignment/>
      <protection/>
    </xf>
    <xf numFmtId="180" fontId="6" fillId="0" borderId="10" xfId="49" applyNumberFormat="1" applyFont="1" applyFill="1" applyBorder="1" applyAlignment="1">
      <alignment horizontal="right" vertical="center" wrapText="1"/>
    </xf>
    <xf numFmtId="0" fontId="6" fillId="0" borderId="0" xfId="62" applyFont="1" applyFill="1" applyBorder="1" applyAlignment="1">
      <alignment vertical="center"/>
      <protection/>
    </xf>
    <xf numFmtId="0" fontId="6" fillId="33" borderId="10" xfId="62" applyFont="1" applyFill="1" applyBorder="1" applyAlignment="1">
      <alignment horizontal="center" vertical="center"/>
      <protection/>
    </xf>
    <xf numFmtId="0" fontId="10" fillId="33" borderId="10" xfId="62" applyFont="1" applyFill="1" applyBorder="1" applyAlignment="1">
      <alignment vertical="center"/>
      <protection/>
    </xf>
    <xf numFmtId="0" fontId="8" fillId="0" borderId="0" xfId="62" applyFont="1" applyFill="1" applyBorder="1" applyAlignment="1">
      <alignment vertical="center" wrapText="1"/>
      <protection/>
    </xf>
    <xf numFmtId="0" fontId="6" fillId="33" borderId="11" xfId="62" applyFont="1" applyFill="1" applyBorder="1" applyAlignment="1">
      <alignment vertical="center"/>
      <protection/>
    </xf>
    <xf numFmtId="40" fontId="6" fillId="33" borderId="10" xfId="62" applyNumberFormat="1" applyFont="1" applyFill="1" applyBorder="1" applyAlignment="1">
      <alignment horizontal="center" vertical="center"/>
      <protection/>
    </xf>
    <xf numFmtId="0" fontId="6" fillId="33" borderId="11" xfId="62" applyFont="1" applyFill="1" applyBorder="1" applyAlignment="1">
      <alignment horizontal="left" vertical="center" indent="1"/>
      <protection/>
    </xf>
    <xf numFmtId="2" fontId="6" fillId="33" borderId="10" xfId="62" applyNumberFormat="1" applyFont="1" applyFill="1" applyBorder="1" applyAlignment="1">
      <alignment horizontal="center" vertical="center"/>
      <protection/>
    </xf>
    <xf numFmtId="179" fontId="6" fillId="33" borderId="10" xfId="49" applyNumberFormat="1" applyFont="1" applyFill="1" applyBorder="1" applyAlignment="1">
      <alignment horizontal="center" vertical="center" wrapText="1"/>
    </xf>
    <xf numFmtId="12" fontId="6" fillId="37" borderId="0" xfId="62" applyNumberFormat="1" applyFont="1" applyFill="1" applyBorder="1" applyAlignment="1">
      <alignment/>
      <protection/>
    </xf>
    <xf numFmtId="0" fontId="6" fillId="33" borderId="12" xfId="62" applyFont="1" applyFill="1" applyBorder="1" applyAlignment="1">
      <alignment horizontal="left" vertical="center"/>
      <protection/>
    </xf>
    <xf numFmtId="0" fontId="6" fillId="33" borderId="14" xfId="62" applyFont="1" applyFill="1" applyBorder="1" applyAlignment="1">
      <alignment horizontal="left" vertical="center"/>
      <protection/>
    </xf>
    <xf numFmtId="0" fontId="6" fillId="33" borderId="11" xfId="62" applyFont="1" applyFill="1" applyBorder="1" applyAlignment="1">
      <alignment horizontal="center" vertical="center"/>
      <protection/>
    </xf>
    <xf numFmtId="0" fontId="6" fillId="33" borderId="15" xfId="62" applyFont="1" applyFill="1" applyBorder="1" applyAlignment="1">
      <alignment horizontal="center" vertical="center"/>
      <protection/>
    </xf>
    <xf numFmtId="0" fontId="6" fillId="33" borderId="12" xfId="62" applyFont="1" applyFill="1" applyBorder="1" applyAlignment="1">
      <alignment horizontal="left" vertical="center" wrapText="1"/>
      <protection/>
    </xf>
    <xf numFmtId="0" fontId="6" fillId="33" borderId="13" xfId="62" applyFont="1" applyFill="1" applyBorder="1" applyAlignment="1">
      <alignment horizontal="left" vertical="center" wrapText="1"/>
      <protection/>
    </xf>
    <xf numFmtId="0" fontId="6" fillId="33" borderId="10" xfId="62" applyFont="1" applyFill="1" applyBorder="1" applyAlignment="1">
      <alignment horizontal="center" vertical="center" wrapText="1"/>
      <protection/>
    </xf>
    <xf numFmtId="0" fontId="6" fillId="33" borderId="14" xfId="62" applyFont="1" applyFill="1" applyBorder="1" applyAlignment="1">
      <alignment horizontal="left" vertical="center" wrapText="1"/>
      <protection/>
    </xf>
    <xf numFmtId="0" fontId="6" fillId="33" borderId="10" xfId="62" applyFont="1" applyFill="1" applyBorder="1" applyAlignment="1">
      <alignment horizontal="left" vertical="center" wrapText="1"/>
      <protection/>
    </xf>
    <xf numFmtId="0" fontId="8" fillId="0" borderId="16" xfId="62" applyFont="1" applyFill="1" applyBorder="1" applyAlignment="1">
      <alignment horizontal="left" vertical="center" wrapText="1"/>
      <protection/>
    </xf>
    <xf numFmtId="0" fontId="6" fillId="33" borderId="17" xfId="62" applyFont="1" applyFill="1" applyBorder="1" applyAlignment="1">
      <alignment horizontal="center" vertical="center"/>
      <protection/>
    </xf>
    <xf numFmtId="0" fontId="6" fillId="33" borderId="13" xfId="62" applyFont="1" applyFill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Worksheet" xfId="61"/>
    <cellStyle name="標準_配管圧損計算" xfId="62"/>
    <cellStyle name="Followed Hyperlink" xfId="63"/>
    <cellStyle name="良い" xfId="64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/>
            </c:trendlineLbl>
          </c:trendline>
          <c:xVal>
            <c:strRef>
              <c:f>'Pump cal'!#REF!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'Pump cal'!#REF!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36331401"/>
        <c:axId val="58547154"/>
      </c:scatterChart>
      <c:valAx>
        <c:axId val="3633140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547154"/>
        <c:crosses val="autoZero"/>
        <c:crossBetween val="midCat"/>
        <c:dispUnits/>
      </c:valAx>
      <c:valAx>
        <c:axId val="585471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33140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/>
            </c:trendlineLbl>
          </c:trendline>
          <c:xVal>
            <c:strRef>
              <c:f>'Pump cal'!#REF!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'Pump cal'!#REF!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57162339"/>
        <c:axId val="44699004"/>
      </c:scatterChart>
      <c:valAx>
        <c:axId val="5716233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699004"/>
        <c:crosses val="autoZero"/>
        <c:crossBetween val="midCat"/>
        <c:dispUnits/>
      </c:valAx>
      <c:valAx>
        <c:axId val="446990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16233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graphicFrame>
      <xdr:nvGraphicFramePr>
        <xdr:cNvPr id="1" name="グラフ 11"/>
        <xdr:cNvGraphicFramePr/>
      </xdr:nvGraphicFramePr>
      <xdr:xfrm>
        <a:off x="9029700" y="240601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graphicFrame>
      <xdr:nvGraphicFramePr>
        <xdr:cNvPr id="2" name="グラフ 12"/>
        <xdr:cNvGraphicFramePr/>
      </xdr:nvGraphicFramePr>
      <xdr:xfrm>
        <a:off x="9029700" y="240601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57150</xdr:colOff>
      <xdr:row>0</xdr:row>
      <xdr:rowOff>85725</xdr:rowOff>
    </xdr:from>
    <xdr:to>
      <xdr:col>3</xdr:col>
      <xdr:colOff>400050</xdr:colOff>
      <xdr:row>15</xdr:row>
      <xdr:rowOff>200025</xdr:rowOff>
    </xdr:to>
    <xdr:pic>
      <xdr:nvPicPr>
        <xdr:cNvPr id="3" name="Picture 2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43075" y="85725"/>
          <a:ext cx="4924425" cy="3686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" sqref="B3"/>
    </sheetView>
  </sheetViews>
  <sheetFormatPr defaultColWidth="9.33203125" defaultRowHeight="11.2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K137"/>
  <sheetViews>
    <sheetView tabSelected="1" zoomScale="90" zoomScaleNormal="90" zoomScalePageLayoutView="0" workbookViewId="0" topLeftCell="A1">
      <selection activeCell="A13" sqref="A13"/>
    </sheetView>
  </sheetViews>
  <sheetFormatPr defaultColWidth="12" defaultRowHeight="11.25"/>
  <cols>
    <col min="1" max="1" width="29.5" style="1" customWidth="1"/>
    <col min="2" max="2" width="34.66015625" style="1" bestFit="1" customWidth="1"/>
    <col min="3" max="3" width="45.5" style="1" customWidth="1"/>
    <col min="4" max="4" width="21" style="1" customWidth="1"/>
    <col min="5" max="5" width="13.5" style="1" customWidth="1"/>
    <col min="6" max="9" width="13.83203125" style="1" customWidth="1"/>
    <col min="10" max="16384" width="12" style="1" customWidth="1"/>
  </cols>
  <sheetData>
    <row r="1" ht="18.75" customHeight="1"/>
    <row r="2" spans="6:9" ht="18.75" customHeight="1">
      <c r="F2" s="2"/>
      <c r="G2" s="2"/>
      <c r="H2" s="2"/>
      <c r="I2" s="2"/>
    </row>
    <row r="3" ht="18.75" customHeight="1"/>
    <row r="4" ht="18.75" customHeight="1"/>
    <row r="5" ht="18.75" customHeight="1"/>
    <row r="6" ht="18.75" customHeight="1"/>
    <row r="7" ht="18.75" customHeight="1"/>
    <row r="8" ht="18.75" customHeight="1"/>
    <row r="9" ht="18.75" customHeight="1"/>
    <row r="10" ht="18.75" customHeight="1"/>
    <row r="11" ht="18.75" customHeight="1"/>
    <row r="12" ht="18.75" customHeight="1"/>
    <row r="13" ht="18.75" customHeight="1"/>
    <row r="14" ht="18.75" customHeight="1"/>
    <row r="15" ht="18.75" customHeight="1"/>
    <row r="16" ht="18.75" customHeight="1"/>
    <row r="17" spans="1:9" ht="34.5" customHeight="1">
      <c r="A17" s="56" t="s">
        <v>161</v>
      </c>
      <c r="B17" s="65"/>
      <c r="C17" s="73"/>
      <c r="D17" s="73"/>
      <c r="E17" s="66"/>
      <c r="F17" s="65" t="s">
        <v>98</v>
      </c>
      <c r="G17" s="66"/>
      <c r="H17" s="65" t="s">
        <v>97</v>
      </c>
      <c r="I17" s="66"/>
    </row>
    <row r="18" spans="1:9" s="5" customFormat="1" ht="39.75" customHeight="1">
      <c r="A18" s="56"/>
      <c r="B18" s="3"/>
      <c r="C18" s="69" t="s">
        <v>6</v>
      </c>
      <c r="D18" s="69"/>
      <c r="E18" s="69"/>
      <c r="F18" s="4" t="s">
        <v>95</v>
      </c>
      <c r="G18" s="4" t="s">
        <v>96</v>
      </c>
      <c r="H18" s="4" t="s">
        <v>95</v>
      </c>
      <c r="I18" s="4" t="s">
        <v>96</v>
      </c>
    </row>
    <row r="19" spans="1:9" s="5" customFormat="1" ht="18" customHeight="1">
      <c r="A19" s="56"/>
      <c r="B19" s="67" t="s">
        <v>99</v>
      </c>
      <c r="C19" s="35" t="s">
        <v>121</v>
      </c>
      <c r="D19" s="35" t="s">
        <v>120</v>
      </c>
      <c r="E19" s="30" t="s">
        <v>101</v>
      </c>
      <c r="F19" s="52">
        <f>F34*F32/3600*9.80665*F27/(1000*G20/100)</f>
        <v>1.7951504221193222</v>
      </c>
      <c r="G19" s="52">
        <f>F34*F32/3600*9.80665*G27/(1000*G20/100)</f>
        <v>2.164356192953393</v>
      </c>
      <c r="H19" s="52">
        <f>H34*H32/3600*9.80665*H27/(1000*I20/100)</f>
        <v>2.2162195987217124</v>
      </c>
      <c r="I19" s="52">
        <f>H34*H32/3600*9.80665*I27/(1000*I20/100)</f>
        <v>2.351852408447061</v>
      </c>
    </row>
    <row r="20" spans="1:9" s="5" customFormat="1" ht="25.5" customHeight="1">
      <c r="A20" s="56"/>
      <c r="B20" s="68"/>
      <c r="C20" s="35" t="s">
        <v>100</v>
      </c>
      <c r="D20" s="39" t="s">
        <v>103</v>
      </c>
      <c r="E20" s="37" t="s">
        <v>37</v>
      </c>
      <c r="F20" s="13">
        <f>80-0.2855*(F27/0.3048)+0.000378*(F27/0.3048)*(F32*1000/(3.785*60))-0.000000238*(F27/0.3048)*(F32*1000/(3.785*60))^2-0.00000639*(F27/0.3048)^2*(F32*1000/(3.785*60))+0.0000000004*(F27/0.3048)^2*(F32*1000/(3.785*60))^2</f>
        <v>54.26169948643008</v>
      </c>
      <c r="G20" s="13">
        <f>80-0.2855*(G27/0.3048)+0.000378*(G27/0.3048)*(F32*1000/(3.785*60))-0.000000238*(G27/0.3048)*(F32*1000/(3.785*60))^2-0.00000639*(G27/0.3048)^2*(F32*1000/(3.785*60))+0.0000000004*(G27/0.3048)^2*(F32*1000/(3.785*60))^2</f>
        <v>48.33043054892361</v>
      </c>
      <c r="H20" s="13">
        <f>80-0.2855*(H27/0.3048)+0.000378*(H27/0.3048)*(H32*1000/(3.785*60))-0.000000238*(H27/0.3048)*(H32*1000/(3.785*60))^2-0.00000639*(H27/0.3048)^2*(H32*1000/(3.785*60))+0.0000000004*(H27/0.3048)^2*(H32*1000/(3.785*60))^2</f>
        <v>50.23873256135244</v>
      </c>
      <c r="I20" s="13">
        <f>80-0.2855*(I27/0.3048)+0.000378*(I27/0.3048)*(H32*1000/(3.785*60))-0.000000238*(I27/0.3048)*(H32*1000/(3.785*60))^2-0.00000639*(I27/0.3048)^2*(H32*1000/(3.785*60))+0.0000000004*(I27/0.3048)^2*(H32*1000/(3.785*60))^2</f>
        <v>48.18384371479987</v>
      </c>
    </row>
    <row r="21" spans="1:9" s="5" customFormat="1" ht="18" customHeight="1">
      <c r="A21" s="56"/>
      <c r="B21" s="68"/>
      <c r="C21" s="35" t="s">
        <v>102</v>
      </c>
      <c r="D21" s="36"/>
      <c r="E21" s="37"/>
      <c r="F21" s="7"/>
      <c r="G21" s="46">
        <f>1/VLOOKUP(1/(G19*F22/G22),$F$100:$F$137,1,TRUE)</f>
        <v>3.7000000000000006</v>
      </c>
      <c r="H21" s="7"/>
      <c r="I21" s="46">
        <f>1/VLOOKUP(1/(I19*H22/I22),$F$100:$F$137,1,TRUE)</f>
        <v>3.7000000000000006</v>
      </c>
    </row>
    <row r="22" spans="1:9" s="5" customFormat="1" ht="18" customHeight="1">
      <c r="A22" s="56"/>
      <c r="B22" s="68"/>
      <c r="C22" s="40" t="s">
        <v>104</v>
      </c>
      <c r="D22" s="36"/>
      <c r="E22" s="37"/>
      <c r="F22" s="7">
        <f>IF(G19&lt;20,1.25,IF(G19&lt;75,1.15,1.1))</f>
        <v>1.25</v>
      </c>
      <c r="G22" s="7">
        <v>1.15</v>
      </c>
      <c r="H22" s="7">
        <f>IF(I19&lt;20,1.25,IF(I19&lt;75,1.15,1.1))</f>
        <v>1.25</v>
      </c>
      <c r="I22" s="7">
        <v>1.15</v>
      </c>
    </row>
    <row r="23" spans="1:9" s="5" customFormat="1" ht="18" customHeight="1">
      <c r="A23" s="56"/>
      <c r="B23" s="67" t="s">
        <v>41</v>
      </c>
      <c r="C23" s="67" t="s">
        <v>59</v>
      </c>
      <c r="D23" s="63" t="s">
        <v>52</v>
      </c>
      <c r="E23" s="6" t="s">
        <v>38</v>
      </c>
      <c r="F23" s="7">
        <f>F47+F53^2/19.6*F34/1000</f>
        <v>75.69818971894945</v>
      </c>
      <c r="G23" s="7">
        <f>G47+G53^2/19.6*G34/1000</f>
        <v>333.94917493072984</v>
      </c>
      <c r="H23" s="7">
        <f>H47+H53^2/19.6*H34/1000</f>
        <v>68.05831080081418</v>
      </c>
      <c r="I23" s="7">
        <f>I47+I53^2/19.6*I34/1000</f>
        <v>361.4667518259899</v>
      </c>
    </row>
    <row r="24" spans="1:9" s="5" customFormat="1" ht="18" customHeight="1">
      <c r="A24" s="56"/>
      <c r="B24" s="68"/>
      <c r="C24" s="64"/>
      <c r="D24" s="64"/>
      <c r="E24" s="6" t="s">
        <v>39</v>
      </c>
      <c r="F24" s="7">
        <f>F23-101.325</f>
        <v>-25.626810281050552</v>
      </c>
      <c r="G24" s="7">
        <f>G23-101.325</f>
        <v>232.62417493072985</v>
      </c>
      <c r="H24" s="7">
        <f>H23-101.325</f>
        <v>-33.26668919918582</v>
      </c>
      <c r="I24" s="7">
        <f>I23-101.325</f>
        <v>260.1417518259899</v>
      </c>
    </row>
    <row r="25" spans="1:9" s="5" customFormat="1" ht="18" customHeight="1">
      <c r="A25" s="56"/>
      <c r="B25" s="68"/>
      <c r="C25" s="67" t="s">
        <v>60</v>
      </c>
      <c r="D25" s="63" t="s">
        <v>159</v>
      </c>
      <c r="E25" s="6" t="s">
        <v>38</v>
      </c>
      <c r="F25" s="7">
        <f>F23+(F41-F40)*(F34*9.80665)/1000+(F38-F37)</f>
        <v>115.86167992194945</v>
      </c>
      <c r="G25" s="7">
        <f>F25+G27*1.2*G34*9.80665/1000</f>
        <v>489.4997521139494</v>
      </c>
      <c r="H25" s="7">
        <f>H23+(H41-H40)*(H34*9.80665)/1000+(H38-H37)</f>
        <v>108.22180100381418</v>
      </c>
      <c r="I25" s="7">
        <f>H25+I27*1.2*I34*9.80665/1000</f>
        <v>481.85987319581415</v>
      </c>
    </row>
    <row r="26" spans="1:9" s="5" customFormat="1" ht="18" customHeight="1">
      <c r="A26" s="56"/>
      <c r="B26" s="68"/>
      <c r="C26" s="64"/>
      <c r="D26" s="64"/>
      <c r="E26" s="6" t="s">
        <v>39</v>
      </c>
      <c r="F26" s="7">
        <f>F25-101.325</f>
        <v>14.536679921949442</v>
      </c>
      <c r="G26" s="7">
        <f>G25-101.325</f>
        <v>388.1747521139494</v>
      </c>
      <c r="H26" s="7">
        <f>H25-101.325</f>
        <v>6.896801003814176</v>
      </c>
      <c r="I26" s="7">
        <f>I25-101.325</f>
        <v>380.53487319581416</v>
      </c>
    </row>
    <row r="27" spans="1:9" s="5" customFormat="1" ht="24.75" customHeight="1">
      <c r="A27" s="56" t="s">
        <v>164</v>
      </c>
      <c r="B27" s="68"/>
      <c r="C27" s="19" t="s">
        <v>151</v>
      </c>
      <c r="D27" s="8" t="s">
        <v>149</v>
      </c>
      <c r="E27" s="8" t="s">
        <v>11</v>
      </c>
      <c r="F27" s="7">
        <f>(G23-F23)*1000/(F34*9.80665)</f>
        <v>26.54129375508725</v>
      </c>
      <c r="G27" s="10">
        <v>32</v>
      </c>
      <c r="H27" s="7">
        <f>(I23-H23)*1000/(H34*9.80665)</f>
        <v>30.15453984458274</v>
      </c>
      <c r="I27" s="10">
        <f>G27</f>
        <v>32</v>
      </c>
    </row>
    <row r="28" spans="1:9" ht="37.5" customHeight="1">
      <c r="A28" s="56" t="s">
        <v>196</v>
      </c>
      <c r="B28" s="68"/>
      <c r="C28" s="9" t="s">
        <v>150</v>
      </c>
      <c r="D28" s="8"/>
      <c r="E28" s="8"/>
      <c r="F28" s="11"/>
      <c r="G28" s="12">
        <f>G27/F27-1</f>
        <v>0.20566843106005206</v>
      </c>
      <c r="H28" s="11"/>
      <c r="I28" s="12">
        <f>I27/H27-1</f>
        <v>0.061200076835156825</v>
      </c>
    </row>
    <row r="29" spans="1:9" ht="18" customHeight="1">
      <c r="A29" s="56"/>
      <c r="B29" s="70"/>
      <c r="C29" s="19" t="s">
        <v>152</v>
      </c>
      <c r="D29" s="8"/>
      <c r="E29" s="8" t="s">
        <v>11</v>
      </c>
      <c r="F29" s="13">
        <f>(F47-F36)*1000/(F34*9.80665)</f>
        <v>7.006885832519308</v>
      </c>
      <c r="G29" s="7"/>
      <c r="H29" s="13">
        <f>(H47-H36)*1000/(H34*9.80665)</f>
        <v>6.219568043421623</v>
      </c>
      <c r="I29" s="7"/>
    </row>
    <row r="30" spans="1:9" ht="18" customHeight="1">
      <c r="A30" s="56"/>
      <c r="B30" s="67" t="s">
        <v>49</v>
      </c>
      <c r="C30" s="19" t="s">
        <v>50</v>
      </c>
      <c r="D30" s="8"/>
      <c r="E30" s="8"/>
      <c r="F30" s="14" t="s">
        <v>51</v>
      </c>
      <c r="G30" s="7"/>
      <c r="H30" s="14" t="s">
        <v>51</v>
      </c>
      <c r="I30" s="7"/>
    </row>
    <row r="31" spans="1:9" ht="18" customHeight="1">
      <c r="A31" s="56" t="s">
        <v>160</v>
      </c>
      <c r="B31" s="68"/>
      <c r="C31" s="63" t="s">
        <v>44</v>
      </c>
      <c r="D31" s="8" t="s">
        <v>2</v>
      </c>
      <c r="E31" s="8" t="s">
        <v>3</v>
      </c>
      <c r="F31" s="15">
        <v>12000</v>
      </c>
      <c r="G31" s="15">
        <v>10000</v>
      </c>
      <c r="H31" s="15">
        <v>13000</v>
      </c>
      <c r="I31" s="15">
        <v>11000</v>
      </c>
    </row>
    <row r="32" spans="1:9" ht="18" customHeight="1">
      <c r="A32" s="56"/>
      <c r="B32" s="68"/>
      <c r="C32" s="64"/>
      <c r="D32" s="8" t="s">
        <v>4</v>
      </c>
      <c r="E32" s="8" t="s">
        <v>5</v>
      </c>
      <c r="F32" s="7">
        <f>F31/F34</f>
        <v>12.094335819391251</v>
      </c>
      <c r="G32" s="7">
        <f>G31/G34</f>
        <v>10.078613182826043</v>
      </c>
      <c r="H32" s="7">
        <f>H31/H34</f>
        <v>13.102197137673855</v>
      </c>
      <c r="I32" s="7">
        <f>I31/I34</f>
        <v>11.086474501108647</v>
      </c>
    </row>
    <row r="33" spans="1:9" ht="18" customHeight="1">
      <c r="A33" s="56" t="s">
        <v>163</v>
      </c>
      <c r="B33" s="68"/>
      <c r="C33" s="19" t="s">
        <v>45</v>
      </c>
      <c r="D33" s="8" t="s">
        <v>153</v>
      </c>
      <c r="E33" s="8" t="s">
        <v>53</v>
      </c>
      <c r="F33" s="16">
        <v>40</v>
      </c>
      <c r="G33" s="17">
        <f aca="true" t="shared" si="0" ref="G33:I35">F33</f>
        <v>40</v>
      </c>
      <c r="H33" s="17">
        <f t="shared" si="0"/>
        <v>40</v>
      </c>
      <c r="I33" s="17">
        <f t="shared" si="0"/>
        <v>40</v>
      </c>
    </row>
    <row r="34" spans="1:9" ht="18" customHeight="1">
      <c r="A34" s="56" t="s">
        <v>162</v>
      </c>
      <c r="B34" s="68"/>
      <c r="C34" s="19" t="s">
        <v>46</v>
      </c>
      <c r="D34" s="55" t="s">
        <v>155</v>
      </c>
      <c r="E34" s="8" t="s">
        <v>54</v>
      </c>
      <c r="F34" s="18">
        <v>992.2</v>
      </c>
      <c r="G34" s="13">
        <f t="shared" si="0"/>
        <v>992.2</v>
      </c>
      <c r="H34" s="13">
        <f t="shared" si="0"/>
        <v>992.2</v>
      </c>
      <c r="I34" s="13">
        <f t="shared" si="0"/>
        <v>992.2</v>
      </c>
    </row>
    <row r="35" spans="1:9" ht="18" customHeight="1">
      <c r="A35" s="56" t="s">
        <v>165</v>
      </c>
      <c r="B35" s="68"/>
      <c r="C35" s="19" t="s">
        <v>47</v>
      </c>
      <c r="D35" s="55" t="s">
        <v>154</v>
      </c>
      <c r="E35" s="8" t="s">
        <v>55</v>
      </c>
      <c r="F35" s="10">
        <v>0.65</v>
      </c>
      <c r="G35" s="7">
        <f t="shared" si="0"/>
        <v>0.65</v>
      </c>
      <c r="H35" s="7">
        <f t="shared" si="0"/>
        <v>0.65</v>
      </c>
      <c r="I35" s="7">
        <f t="shared" si="0"/>
        <v>0.65</v>
      </c>
    </row>
    <row r="36" spans="1:9" ht="18" customHeight="1">
      <c r="A36" s="56" t="s">
        <v>166</v>
      </c>
      <c r="B36" s="70"/>
      <c r="C36" s="19" t="s">
        <v>48</v>
      </c>
      <c r="D36" s="8" t="s">
        <v>156</v>
      </c>
      <c r="E36" s="8" t="s">
        <v>56</v>
      </c>
      <c r="F36" s="10">
        <v>7.4</v>
      </c>
      <c r="G36" s="7"/>
      <c r="H36" s="7">
        <f>F36</f>
        <v>7.4</v>
      </c>
      <c r="I36" s="7"/>
    </row>
    <row r="37" spans="1:9" ht="18" customHeight="1">
      <c r="A37" s="56" t="s">
        <v>167</v>
      </c>
      <c r="B37" s="67" t="s">
        <v>42</v>
      </c>
      <c r="C37" s="19" t="s">
        <v>87</v>
      </c>
      <c r="D37" s="19" t="s">
        <v>157</v>
      </c>
      <c r="E37" s="8" t="s">
        <v>38</v>
      </c>
      <c r="F37" s="10">
        <v>101.3</v>
      </c>
      <c r="G37" s="10">
        <v>101.3</v>
      </c>
      <c r="H37" s="7">
        <f>F37</f>
        <v>101.3</v>
      </c>
      <c r="I37" s="7">
        <f>G37</f>
        <v>101.3</v>
      </c>
    </row>
    <row r="38" spans="1:9" ht="18" customHeight="1">
      <c r="A38" s="56" t="s">
        <v>168</v>
      </c>
      <c r="B38" s="68"/>
      <c r="C38" s="19" t="s">
        <v>88</v>
      </c>
      <c r="D38" s="19" t="s">
        <v>158</v>
      </c>
      <c r="E38" s="8" t="s">
        <v>38</v>
      </c>
      <c r="F38" s="10">
        <v>111.3</v>
      </c>
      <c r="G38" s="10">
        <v>148</v>
      </c>
      <c r="H38" s="7">
        <f>F38</f>
        <v>111.3</v>
      </c>
      <c r="I38" s="7">
        <f>G38</f>
        <v>148</v>
      </c>
    </row>
    <row r="39" spans="1:9" ht="18" customHeight="1">
      <c r="A39" s="56" t="s">
        <v>169</v>
      </c>
      <c r="B39" s="68"/>
      <c r="C39" s="19" t="s">
        <v>63</v>
      </c>
      <c r="D39" s="8"/>
      <c r="E39" s="8" t="s">
        <v>7</v>
      </c>
      <c r="F39" s="23">
        <f>F40*F34*9.80665/1000</f>
        <v>9.73015813</v>
      </c>
      <c r="G39" s="23">
        <f>G40*G34*9.80665/1000</f>
        <v>49.623806463</v>
      </c>
      <c r="H39" s="23">
        <f>H40*H34*9.80665/1000</f>
        <v>9.73015813</v>
      </c>
      <c r="I39" s="23">
        <f>I40*I34*9.80665/1000</f>
        <v>49.623806463</v>
      </c>
    </row>
    <row r="40" spans="1:9" ht="22.5" customHeight="1">
      <c r="A40" s="56" t="s">
        <v>184</v>
      </c>
      <c r="B40" s="68"/>
      <c r="C40" s="9" t="s">
        <v>64</v>
      </c>
      <c r="D40" s="8" t="s">
        <v>115</v>
      </c>
      <c r="E40" s="8" t="s">
        <v>11</v>
      </c>
      <c r="F40" s="24">
        <v>1</v>
      </c>
      <c r="G40" s="24">
        <v>5.1</v>
      </c>
      <c r="H40" s="13">
        <f>F40</f>
        <v>1</v>
      </c>
      <c r="I40" s="13">
        <f>G40</f>
        <v>5.1</v>
      </c>
    </row>
    <row r="41" spans="1:9" ht="18" customHeight="1">
      <c r="A41" s="56" t="s">
        <v>185</v>
      </c>
      <c r="B41" s="68"/>
      <c r="C41" s="9" t="s">
        <v>65</v>
      </c>
      <c r="D41" s="8" t="s">
        <v>114</v>
      </c>
      <c r="E41" s="8" t="s">
        <v>11</v>
      </c>
      <c r="F41" s="24">
        <v>4.1</v>
      </c>
      <c r="G41" s="28"/>
      <c r="H41" s="13">
        <f>F41</f>
        <v>4.1</v>
      </c>
      <c r="I41" s="28"/>
    </row>
    <row r="42" spans="2:9" ht="18" customHeight="1">
      <c r="B42" s="68"/>
      <c r="C42" s="63" t="s">
        <v>66</v>
      </c>
      <c r="D42" s="63" t="s">
        <v>170</v>
      </c>
      <c r="E42" s="8" t="s">
        <v>7</v>
      </c>
      <c r="F42" s="23">
        <f>F62</f>
        <v>35.45205098073042</v>
      </c>
      <c r="G42" s="23">
        <f>G62</f>
        <v>182.80212894901516</v>
      </c>
      <c r="H42" s="23">
        <f>H62</f>
        <v>43.11277756721289</v>
      </c>
      <c r="I42" s="23">
        <f>I62</f>
        <v>210.27282554534509</v>
      </c>
    </row>
    <row r="43" spans="1:9" ht="18" customHeight="1">
      <c r="A43" s="56"/>
      <c r="B43" s="68"/>
      <c r="C43" s="64"/>
      <c r="D43" s="64"/>
      <c r="E43" s="8" t="s">
        <v>10</v>
      </c>
      <c r="F43" s="20">
        <f>F42/98.0665</f>
        <v>0.3615103116837087</v>
      </c>
      <c r="G43" s="20">
        <f>G42/98.0665</f>
        <v>1.8640629465619263</v>
      </c>
      <c r="H43" s="20">
        <f>H42/98.0665</f>
        <v>0.43962798271798104</v>
      </c>
      <c r="I43" s="20">
        <f>I42/98.0665</f>
        <v>2.1441860935726784</v>
      </c>
    </row>
    <row r="44" spans="1:9" ht="18" customHeight="1">
      <c r="A44" s="56"/>
      <c r="B44" s="68"/>
      <c r="C44" s="67" t="s">
        <v>61</v>
      </c>
      <c r="D44" s="63" t="s">
        <v>57</v>
      </c>
      <c r="E44" s="8" t="s">
        <v>38</v>
      </c>
      <c r="F44" s="7">
        <f>F37+F39</f>
        <v>111.03015812999999</v>
      </c>
      <c r="G44" s="7">
        <f>G37+G39</f>
        <v>150.923806463</v>
      </c>
      <c r="H44" s="7">
        <f>H37+H39</f>
        <v>111.03015812999999</v>
      </c>
      <c r="I44" s="7">
        <f>I37+I39</f>
        <v>150.923806463</v>
      </c>
    </row>
    <row r="45" spans="1:9" ht="18" customHeight="1">
      <c r="A45" s="56"/>
      <c r="B45" s="68"/>
      <c r="C45" s="74"/>
      <c r="D45" s="74"/>
      <c r="E45" s="8" t="s">
        <v>8</v>
      </c>
      <c r="F45" s="20">
        <f>F44/98.0665</f>
        <v>1.1321925237466413</v>
      </c>
      <c r="G45" s="20">
        <f>G44/98.0665</f>
        <v>1.5389945237466414</v>
      </c>
      <c r="H45" s="20">
        <f>H44/98.0665</f>
        <v>1.1321925237466413</v>
      </c>
      <c r="I45" s="20">
        <f>I44/98.0665</f>
        <v>1.5389945237466414</v>
      </c>
    </row>
    <row r="46" spans="1:9" ht="18" customHeight="1">
      <c r="A46" s="56"/>
      <c r="B46" s="68"/>
      <c r="C46" s="64"/>
      <c r="D46" s="64"/>
      <c r="E46" s="8" t="s">
        <v>9</v>
      </c>
      <c r="F46" s="21">
        <f>F45-1.033</f>
        <v>0.09919252374664134</v>
      </c>
      <c r="G46" s="21">
        <f>G45-1.033</f>
        <v>0.5059945237466414</v>
      </c>
      <c r="H46" s="21">
        <f>H45-1.033</f>
        <v>0.09919252374664134</v>
      </c>
      <c r="I46" s="21">
        <f>I45-1.033</f>
        <v>0.5059945237466414</v>
      </c>
    </row>
    <row r="47" spans="1:9" ht="18" customHeight="1">
      <c r="A47" s="56"/>
      <c r="B47" s="68"/>
      <c r="C47" s="67" t="s">
        <v>62</v>
      </c>
      <c r="D47" s="63" t="s">
        <v>58</v>
      </c>
      <c r="E47" s="8" t="s">
        <v>38</v>
      </c>
      <c r="F47" s="22">
        <f>F37+F39-F42</f>
        <v>75.57810714926957</v>
      </c>
      <c r="G47" s="22">
        <f>G37+G42+G39</f>
        <v>333.72593541201513</v>
      </c>
      <c r="H47" s="22">
        <f>H37+H39-H42</f>
        <v>67.9173805627871</v>
      </c>
      <c r="I47" s="22">
        <f>I37+I42+I39</f>
        <v>361.1966320083451</v>
      </c>
    </row>
    <row r="48" spans="1:9" ht="18" customHeight="1">
      <c r="A48" s="56"/>
      <c r="B48" s="68"/>
      <c r="C48" s="74"/>
      <c r="D48" s="74"/>
      <c r="E48" s="8" t="s">
        <v>8</v>
      </c>
      <c r="F48" s="20">
        <f>F47/98.0665</f>
        <v>0.7706822120629324</v>
      </c>
      <c r="G48" s="20">
        <f>G47/98.0665</f>
        <v>3.403057470308567</v>
      </c>
      <c r="H48" s="20">
        <f>H47/98.0665</f>
        <v>0.6925645410286602</v>
      </c>
      <c r="I48" s="20">
        <f>I47/98.0665</f>
        <v>3.68318061731932</v>
      </c>
    </row>
    <row r="49" spans="1:9" ht="18" customHeight="1">
      <c r="A49" s="56"/>
      <c r="B49" s="70"/>
      <c r="C49" s="64"/>
      <c r="D49" s="64"/>
      <c r="E49" s="8" t="s">
        <v>9</v>
      </c>
      <c r="F49" s="21">
        <f>F48-1.033</f>
        <v>-0.2623177879370675</v>
      </c>
      <c r="G49" s="21">
        <f>G48-1.033</f>
        <v>2.3700574703085673</v>
      </c>
      <c r="H49" s="21">
        <f>H48-1.033</f>
        <v>-0.34043545897133975</v>
      </c>
      <c r="I49" s="21">
        <f>I48-1.033</f>
        <v>2.65018061731932</v>
      </c>
    </row>
    <row r="50" spans="1:9" ht="18" customHeight="1">
      <c r="A50" s="56" t="s">
        <v>186</v>
      </c>
      <c r="B50" s="71" t="s">
        <v>43</v>
      </c>
      <c r="C50" s="8" t="s">
        <v>116</v>
      </c>
      <c r="D50" s="8"/>
      <c r="E50" s="8" t="s">
        <v>36</v>
      </c>
      <c r="F50" s="49">
        <v>50</v>
      </c>
      <c r="G50" s="49">
        <v>40</v>
      </c>
      <c r="H50" s="25">
        <f>F50</f>
        <v>50</v>
      </c>
      <c r="I50" s="25">
        <f>G50</f>
        <v>40</v>
      </c>
    </row>
    <row r="51" spans="1:9" ht="18" customHeight="1">
      <c r="A51" s="56" t="s">
        <v>187</v>
      </c>
      <c r="B51" s="71"/>
      <c r="C51" s="8" t="s">
        <v>67</v>
      </c>
      <c r="D51" s="8" t="s">
        <v>12</v>
      </c>
      <c r="E51" s="8" t="s">
        <v>13</v>
      </c>
      <c r="F51" s="13">
        <f>VLOOKUP(F50,$H$100:$K$124,4,0)</f>
        <v>52.7</v>
      </c>
      <c r="G51" s="13">
        <f>VLOOKUP(G50,$H$100:$K$124,4,0)</f>
        <v>41.2</v>
      </c>
      <c r="H51" s="13">
        <f>VLOOKUP(H50,$H$100:$K$124,4,0)</f>
        <v>52.7</v>
      </c>
      <c r="I51" s="13">
        <f>VLOOKUP(I50,$H$100:$K$124,4,0)</f>
        <v>41.2</v>
      </c>
    </row>
    <row r="52" spans="1:9" ht="18" customHeight="1">
      <c r="A52" s="56"/>
      <c r="B52" s="71"/>
      <c r="C52" s="8" t="s">
        <v>68</v>
      </c>
      <c r="D52" s="8" t="s">
        <v>14</v>
      </c>
      <c r="E52" s="8" t="s">
        <v>13</v>
      </c>
      <c r="F52" s="25">
        <v>0.046</v>
      </c>
      <c r="G52" s="25">
        <v>0.046</v>
      </c>
      <c r="H52" s="25">
        <v>0.046</v>
      </c>
      <c r="I52" s="25">
        <v>0.046</v>
      </c>
    </row>
    <row r="53" spans="1:9" ht="18" customHeight="1">
      <c r="A53" s="56"/>
      <c r="B53" s="71"/>
      <c r="C53" s="9" t="s">
        <v>69</v>
      </c>
      <c r="D53" s="8" t="s">
        <v>15</v>
      </c>
      <c r="E53" s="8" t="s">
        <v>40</v>
      </c>
      <c r="F53" s="22">
        <f>F32/3600/(PI()*(F51/1000)^2/4)</f>
        <v>1.5401691169525253</v>
      </c>
      <c r="G53" s="22">
        <f>G32/3600/(PI()*(G51/1000)^2/4)</f>
        <v>2.0999742194231117</v>
      </c>
      <c r="H53" s="22">
        <f>H32/3600/(PI()*(H51/1000)^2/4)</f>
        <v>1.6685165433652358</v>
      </c>
      <c r="I53" s="22">
        <f>I32/3600/(PI()*(I51/1000)^2/4)</f>
        <v>2.3099716413654225</v>
      </c>
    </row>
    <row r="54" spans="1:9" ht="18" customHeight="1">
      <c r="A54" s="56"/>
      <c r="B54" s="71"/>
      <c r="C54" s="9" t="s">
        <v>16</v>
      </c>
      <c r="D54" s="8" t="s">
        <v>17</v>
      </c>
      <c r="E54" s="8"/>
      <c r="F54" s="26">
        <f>F34*F53*(F51/1000)/(F35/1000)</f>
        <v>123898.17007105167</v>
      </c>
      <c r="G54" s="26">
        <f>G34*G53*(G51/1000)/(G35/1000)</f>
        <v>132067.83096165909</v>
      </c>
      <c r="H54" s="26">
        <f>H34*H53*(H51/1000)/(H35/1000)</f>
        <v>134223.01757697266</v>
      </c>
      <c r="I54" s="26">
        <f>I34*I53*(I51/1000)/(I35/1000)</f>
        <v>145274.61405782498</v>
      </c>
    </row>
    <row r="55" spans="1:9" ht="18" customHeight="1">
      <c r="A55" s="56" t="s">
        <v>188</v>
      </c>
      <c r="B55" s="71"/>
      <c r="C55" s="8" t="s">
        <v>70</v>
      </c>
      <c r="D55" s="8" t="s">
        <v>171</v>
      </c>
      <c r="E55" s="8" t="s">
        <v>7</v>
      </c>
      <c r="F55" s="10">
        <v>0</v>
      </c>
      <c r="G55" s="10">
        <v>0</v>
      </c>
      <c r="H55" s="10">
        <v>0</v>
      </c>
      <c r="I55" s="10">
        <v>0</v>
      </c>
    </row>
    <row r="56" spans="1:9" ht="18" customHeight="1">
      <c r="A56" s="56" t="s">
        <v>189</v>
      </c>
      <c r="B56" s="71"/>
      <c r="C56" s="8" t="s">
        <v>71</v>
      </c>
      <c r="D56" s="8" t="s">
        <v>172</v>
      </c>
      <c r="E56" s="8" t="s">
        <v>7</v>
      </c>
      <c r="F56" s="10">
        <v>20</v>
      </c>
      <c r="G56" s="10">
        <v>0</v>
      </c>
      <c r="H56" s="10">
        <v>25</v>
      </c>
      <c r="I56" s="10">
        <v>0</v>
      </c>
    </row>
    <row r="57" spans="1:9" ht="18" customHeight="1">
      <c r="A57" s="56" t="s">
        <v>191</v>
      </c>
      <c r="B57" s="71"/>
      <c r="C57" s="8" t="s">
        <v>72</v>
      </c>
      <c r="D57" s="8" t="s">
        <v>173</v>
      </c>
      <c r="E57" s="8" t="s">
        <v>7</v>
      </c>
      <c r="F57" s="10">
        <v>0</v>
      </c>
      <c r="G57" s="10">
        <v>30</v>
      </c>
      <c r="H57" s="10">
        <v>0</v>
      </c>
      <c r="I57" s="10">
        <v>25</v>
      </c>
    </row>
    <row r="58" spans="1:9" ht="18" customHeight="1">
      <c r="A58" s="56" t="s">
        <v>190</v>
      </c>
      <c r="B58" s="71"/>
      <c r="C58" s="8" t="s">
        <v>73</v>
      </c>
      <c r="D58" s="8" t="s">
        <v>174</v>
      </c>
      <c r="E58" s="8" t="s">
        <v>7</v>
      </c>
      <c r="F58" s="10">
        <v>0</v>
      </c>
      <c r="G58" s="10">
        <v>20</v>
      </c>
      <c r="H58" s="10">
        <v>0</v>
      </c>
      <c r="I58" s="10">
        <v>25</v>
      </c>
    </row>
    <row r="59" spans="2:9" ht="18" customHeight="1">
      <c r="B59" s="71"/>
      <c r="C59" s="19" t="s">
        <v>92</v>
      </c>
      <c r="D59" s="8" t="s">
        <v>175</v>
      </c>
      <c r="E59" s="8" t="s">
        <v>7</v>
      </c>
      <c r="F59" s="52">
        <f>F65*F34/1000</f>
        <v>1.1538194089475817</v>
      </c>
      <c r="G59" s="7">
        <f>G65*G34/1000</f>
        <v>18.054783934469533</v>
      </c>
      <c r="H59" s="7">
        <f>H65*H34/1000</f>
        <v>1.3322141253288597</v>
      </c>
      <c r="I59" s="7">
        <f>I65*I34/1000</f>
        <v>21.428538077744886</v>
      </c>
    </row>
    <row r="60" spans="1:9" ht="18" customHeight="1">
      <c r="A60" s="56"/>
      <c r="B60" s="71"/>
      <c r="C60" s="19" t="s">
        <v>93</v>
      </c>
      <c r="D60" s="8" t="s">
        <v>176</v>
      </c>
      <c r="E60" s="8" t="s">
        <v>7</v>
      </c>
      <c r="F60" s="7">
        <f>F66*F34/1000</f>
        <v>14.29823157178284</v>
      </c>
      <c r="G60" s="7">
        <f>G66*G34/1000</f>
        <v>114.74734501454563</v>
      </c>
      <c r="H60" s="7">
        <f>H66*H34/1000</f>
        <v>16.780563441884023</v>
      </c>
      <c r="I60" s="7">
        <f>I66*I34/1000</f>
        <v>138.8442874676002</v>
      </c>
    </row>
    <row r="61" spans="1:9" ht="18" customHeight="1">
      <c r="A61" s="56"/>
      <c r="B61" s="71"/>
      <c r="C61" s="19" t="s">
        <v>74</v>
      </c>
      <c r="D61" s="8" t="s">
        <v>177</v>
      </c>
      <c r="E61" s="8" t="s">
        <v>7</v>
      </c>
      <c r="F61" s="27">
        <f>F59+F60</f>
        <v>15.452050980730421</v>
      </c>
      <c r="G61" s="27">
        <f>G59+G60</f>
        <v>132.80212894901516</v>
      </c>
      <c r="H61" s="27">
        <f>H59+H60</f>
        <v>18.112777567212884</v>
      </c>
      <c r="I61" s="27">
        <f>I59+I60</f>
        <v>160.27282554534509</v>
      </c>
    </row>
    <row r="62" spans="1:9" ht="18" customHeight="1">
      <c r="A62" s="56"/>
      <c r="B62" s="71"/>
      <c r="C62" s="19" t="s">
        <v>75</v>
      </c>
      <c r="D62" s="8" t="s">
        <v>178</v>
      </c>
      <c r="E62" s="8" t="s">
        <v>7</v>
      </c>
      <c r="F62" s="27">
        <f>SUM(F55:F58)+F61</f>
        <v>35.45205098073042</v>
      </c>
      <c r="G62" s="27">
        <f>SUM(G55:G58)+G61</f>
        <v>182.80212894901516</v>
      </c>
      <c r="H62" s="27">
        <f>SUM(H55:H58)+H61</f>
        <v>43.11277756721289</v>
      </c>
      <c r="I62" s="27">
        <f>SUM(I55:I58)+I61</f>
        <v>210.27282554534509</v>
      </c>
    </row>
    <row r="63" spans="1:9" ht="18" customHeight="1">
      <c r="A63" s="56"/>
      <c r="B63" s="71"/>
      <c r="C63" s="9" t="s">
        <v>76</v>
      </c>
      <c r="D63" s="8" t="s">
        <v>179</v>
      </c>
      <c r="E63" s="8"/>
      <c r="F63" s="50">
        <f>(1/(4/LN(10)*LN((F54/(4/LN(10))*EXP(-0.4/(4/LN(10))))/LN((F54/(4/LN(10))*EXP(-0.4/(4/LN(10))))/LN(F54/(4/LN(10))*EXP(-0.4/(4/LN(10))))^(EXP(-1.1244919897778/(0.422502820245976+LN(F54/(4/LN(10))*EXP(-0.4/(4/LN(10)))))))))))^2</f>
        <v>0.004305872448497846</v>
      </c>
      <c r="G63" s="50">
        <f>(1/(4/LN(10)*LN((G54/(4/LN(10))*EXP(-0.4/(4/LN(10))))/LN((G54/(4/LN(10))*EXP(-0.4/(4/LN(10))))/LN(G54/(4/LN(10))*EXP(-0.4/(4/LN(10))))^(EXP(-1.1244919897778/(0.422502820245976+LN(G54/(4/LN(10))*EXP(-0.4/(4/LN(10)))))))))))^2</f>
        <v>0.004250131537946143</v>
      </c>
      <c r="H63" s="50">
        <f>(1/(4/LN(10)*LN((H54/(4/LN(10))*EXP(-0.4/(4/LN(10))))/LN((H54/(4/LN(10))*EXP(-0.4/(4/LN(10))))/LN(H54/(4/LN(10))*EXP(-0.4/(4/LN(10))))^(EXP(-1.1244919897778/(0.422502820245976+LN(H54/(4/LN(10))*EXP(-0.4/(4/LN(10)))))))))))^2</f>
        <v>0.004236167677329805</v>
      </c>
      <c r="I63" s="50">
        <f>(1/(4/LN(10)*LN((I54/(4/LN(10))*EXP(-0.4/(4/LN(10))))/LN((I54/(4/LN(10))*EXP(-0.4/(4/LN(10))))/LN(I54/(4/LN(10))*EXP(-0.4/(4/LN(10))))^(EXP(-1.1244919897778/(0.422502820245976+LN(I54/(4/LN(10))*EXP(-0.4/(4/LN(10)))))))))))^2</f>
        <v>0.004168859403427712</v>
      </c>
    </row>
    <row r="64" spans="1:9" ht="18" customHeight="1">
      <c r="A64" s="56" t="s">
        <v>192</v>
      </c>
      <c r="B64" s="71"/>
      <c r="C64" s="8" t="s">
        <v>94</v>
      </c>
      <c r="D64" s="8" t="s">
        <v>180</v>
      </c>
      <c r="E64" s="8" t="s">
        <v>11</v>
      </c>
      <c r="F64" s="18">
        <v>3</v>
      </c>
      <c r="G64" s="18">
        <v>20</v>
      </c>
      <c r="H64" s="13">
        <f>F64</f>
        <v>3</v>
      </c>
      <c r="I64" s="13">
        <f>G64</f>
        <v>20</v>
      </c>
    </row>
    <row r="65" spans="2:9" ht="18" customHeight="1">
      <c r="B65" s="71"/>
      <c r="C65" s="8" t="s">
        <v>117</v>
      </c>
      <c r="D65" s="8"/>
      <c r="E65" s="8" t="s">
        <v>11</v>
      </c>
      <c r="F65" s="7">
        <f>4*F63*(F64/(F51/1000))*(F53^2/2)</f>
        <v>1.162889950561965</v>
      </c>
      <c r="G65" s="7">
        <f>4*G63*(G64/(G51/1000))*(G53^2/2)</f>
        <v>18.196718337502052</v>
      </c>
      <c r="H65" s="7">
        <f>4*H63*(H64/(H51/1000))*(H53^2/2)</f>
        <v>1.3426870845886512</v>
      </c>
      <c r="I65" s="7">
        <f>4*I63*(I64/(I51/1000))*(I53^2/2)</f>
        <v>21.59699463590494</v>
      </c>
    </row>
    <row r="66" spans="1:9" ht="18" customHeight="1">
      <c r="A66" s="56"/>
      <c r="B66" s="71"/>
      <c r="C66" s="19" t="s">
        <v>118</v>
      </c>
      <c r="D66" s="8"/>
      <c r="E66" s="8" t="s">
        <v>11</v>
      </c>
      <c r="F66" s="23">
        <f>SUM(F83:F94)*(F53^2/2)</f>
        <v>14.410634521047005</v>
      </c>
      <c r="G66" s="23">
        <f>SUM(G83:G94)*(G53^2/2)</f>
        <v>115.64941041578878</v>
      </c>
      <c r="H66" s="23">
        <f>SUM(H83:H94)*(H53^2/2)</f>
        <v>16.91248079206211</v>
      </c>
      <c r="I66" s="23">
        <f>SUM(I83:I94)*(I53^2/2)</f>
        <v>139.9357866031044</v>
      </c>
    </row>
    <row r="67" spans="1:9" ht="18" customHeight="1">
      <c r="A67" s="56"/>
      <c r="B67" s="71"/>
      <c r="C67" s="8" t="s">
        <v>119</v>
      </c>
      <c r="D67" s="8"/>
      <c r="E67" s="8" t="s">
        <v>11</v>
      </c>
      <c r="F67" s="27">
        <f>F65+F66</f>
        <v>15.57352447160897</v>
      </c>
      <c r="G67" s="27">
        <f>G65+G66</f>
        <v>133.84612875329083</v>
      </c>
      <c r="H67" s="27">
        <f>H65+H66</f>
        <v>18.25516787665076</v>
      </c>
      <c r="I67" s="27">
        <f>I65+I66</f>
        <v>161.53278123900932</v>
      </c>
    </row>
    <row r="68" spans="1:9" ht="18" customHeight="1">
      <c r="A68" s="56"/>
      <c r="B68" s="71"/>
      <c r="C68" s="34" t="s">
        <v>18</v>
      </c>
      <c r="D68" s="8"/>
      <c r="E68" s="8"/>
      <c r="F68" s="27">
        <f>F67/F65</f>
        <v>13.392087930661956</v>
      </c>
      <c r="G68" s="27">
        <f>G67/G65</f>
        <v>7.355509178676693</v>
      </c>
      <c r="H68" s="27">
        <f>H67/H65</f>
        <v>13.595995735851929</v>
      </c>
      <c r="I68" s="27">
        <f>I67/I65</f>
        <v>7.479410166193288</v>
      </c>
    </row>
    <row r="69" spans="1:9" ht="18" customHeight="1">
      <c r="A69" s="72" t="s">
        <v>195</v>
      </c>
      <c r="B69" s="38"/>
      <c r="C69" s="34" t="s">
        <v>194</v>
      </c>
      <c r="D69" s="57"/>
      <c r="E69" s="54" t="s">
        <v>182</v>
      </c>
      <c r="F69" s="58" t="s">
        <v>181</v>
      </c>
      <c r="G69" s="58" t="s">
        <v>181</v>
      </c>
      <c r="H69" s="58" t="s">
        <v>181</v>
      </c>
      <c r="I69" s="58" t="s">
        <v>181</v>
      </c>
    </row>
    <row r="70" spans="1:9" ht="18" customHeight="1">
      <c r="A70" s="72"/>
      <c r="B70" s="68" t="s">
        <v>89</v>
      </c>
      <c r="C70" s="32" t="s">
        <v>19</v>
      </c>
      <c r="D70" s="33" t="s">
        <v>77</v>
      </c>
      <c r="E70" s="29">
        <f>VLOOKUP(C70,$C$99:$D$131,2,0)</f>
        <v>0.75</v>
      </c>
      <c r="F70" s="18">
        <v>3</v>
      </c>
      <c r="G70" s="18">
        <v>5</v>
      </c>
      <c r="H70" s="13">
        <f>F70</f>
        <v>3</v>
      </c>
      <c r="I70" s="13">
        <f>G70</f>
        <v>5</v>
      </c>
    </row>
    <row r="71" spans="1:9" ht="18" customHeight="1">
      <c r="A71" s="72"/>
      <c r="B71" s="68"/>
      <c r="C71" s="32" t="s">
        <v>20</v>
      </c>
      <c r="D71" s="33" t="s">
        <v>78</v>
      </c>
      <c r="E71" s="29">
        <f aca="true" t="shared" si="1" ref="E71:E81">VLOOKUP(C71,$C$99:$D$131,2,0)</f>
        <v>0.35</v>
      </c>
      <c r="F71" s="18">
        <v>0</v>
      </c>
      <c r="G71" s="18">
        <v>0</v>
      </c>
      <c r="H71" s="13">
        <f aca="true" t="shared" si="2" ref="H71:H80">F71</f>
        <v>0</v>
      </c>
      <c r="I71" s="13">
        <f aca="true" t="shared" si="3" ref="I71:I80">G71</f>
        <v>0</v>
      </c>
    </row>
    <row r="72" spans="1:9" ht="18" customHeight="1">
      <c r="A72" s="72"/>
      <c r="B72" s="68"/>
      <c r="C72" s="32" t="s">
        <v>21</v>
      </c>
      <c r="D72" s="25" t="s">
        <v>90</v>
      </c>
      <c r="E72" s="29">
        <f t="shared" si="1"/>
        <v>0.4</v>
      </c>
      <c r="F72" s="18">
        <v>1</v>
      </c>
      <c r="G72" s="18">
        <v>3</v>
      </c>
      <c r="H72" s="13">
        <f t="shared" si="2"/>
        <v>1</v>
      </c>
      <c r="I72" s="13">
        <f t="shared" si="3"/>
        <v>3</v>
      </c>
    </row>
    <row r="73" spans="1:9" ht="18" customHeight="1">
      <c r="A73" s="72"/>
      <c r="B73" s="68"/>
      <c r="C73" s="32" t="s">
        <v>22</v>
      </c>
      <c r="D73" s="25" t="s">
        <v>91</v>
      </c>
      <c r="E73" s="29">
        <f t="shared" si="1"/>
        <v>1</v>
      </c>
      <c r="F73" s="18">
        <v>0</v>
      </c>
      <c r="G73" s="18">
        <v>0</v>
      </c>
      <c r="H73" s="13">
        <f t="shared" si="2"/>
        <v>0</v>
      </c>
      <c r="I73" s="13">
        <f t="shared" si="3"/>
        <v>0</v>
      </c>
    </row>
    <row r="74" spans="1:9" ht="18" customHeight="1">
      <c r="A74" s="72"/>
      <c r="B74" s="68"/>
      <c r="C74" s="32" t="s">
        <v>23</v>
      </c>
      <c r="D74" s="25" t="s">
        <v>86</v>
      </c>
      <c r="E74" s="29">
        <f t="shared" si="1"/>
        <v>1.5</v>
      </c>
      <c r="F74" s="18">
        <v>0</v>
      </c>
      <c r="G74" s="18">
        <v>0</v>
      </c>
      <c r="H74" s="13">
        <f t="shared" si="2"/>
        <v>0</v>
      </c>
      <c r="I74" s="13">
        <f t="shared" si="3"/>
        <v>0</v>
      </c>
    </row>
    <row r="75" spans="1:9" ht="18" customHeight="1">
      <c r="A75" s="72"/>
      <c r="B75" s="68"/>
      <c r="C75" s="32" t="s">
        <v>24</v>
      </c>
      <c r="D75" s="25" t="s">
        <v>79</v>
      </c>
      <c r="E75" s="29">
        <f t="shared" si="1"/>
        <v>2</v>
      </c>
      <c r="F75" s="18">
        <v>0</v>
      </c>
      <c r="G75" s="18">
        <v>1</v>
      </c>
      <c r="H75" s="13">
        <f t="shared" si="2"/>
        <v>0</v>
      </c>
      <c r="I75" s="13">
        <f t="shared" si="3"/>
        <v>1</v>
      </c>
    </row>
    <row r="76" spans="1:9" ht="18" customHeight="1">
      <c r="A76" s="72"/>
      <c r="B76" s="68"/>
      <c r="C76" s="32" t="s">
        <v>25</v>
      </c>
      <c r="D76" s="25" t="s">
        <v>84</v>
      </c>
      <c r="E76" s="29">
        <f t="shared" si="1"/>
        <v>0.17</v>
      </c>
      <c r="F76" s="18">
        <v>0</v>
      </c>
      <c r="G76" s="18">
        <v>0</v>
      </c>
      <c r="H76" s="13">
        <f t="shared" si="2"/>
        <v>0</v>
      </c>
      <c r="I76" s="13">
        <f t="shared" si="3"/>
        <v>0</v>
      </c>
    </row>
    <row r="77" spans="1:9" ht="18" customHeight="1">
      <c r="A77" s="72"/>
      <c r="B77" s="68"/>
      <c r="C77" s="32" t="s">
        <v>1</v>
      </c>
      <c r="D77" s="25" t="s">
        <v>85</v>
      </c>
      <c r="E77" s="29">
        <f t="shared" si="1"/>
        <v>9</v>
      </c>
      <c r="F77" s="18">
        <v>1</v>
      </c>
      <c r="G77" s="18">
        <v>5</v>
      </c>
      <c r="H77" s="13">
        <f t="shared" si="2"/>
        <v>1</v>
      </c>
      <c r="I77" s="13">
        <f t="shared" si="3"/>
        <v>5</v>
      </c>
    </row>
    <row r="78" spans="1:9" ht="18" customHeight="1">
      <c r="A78" s="72"/>
      <c r="B78" s="68"/>
      <c r="C78" s="32" t="s">
        <v>26</v>
      </c>
      <c r="D78" s="25" t="s">
        <v>80</v>
      </c>
      <c r="E78" s="29">
        <f t="shared" si="1"/>
        <v>0.52</v>
      </c>
      <c r="F78" s="18">
        <v>0</v>
      </c>
      <c r="G78" s="18">
        <v>0</v>
      </c>
      <c r="H78" s="13">
        <f t="shared" si="2"/>
        <v>0</v>
      </c>
      <c r="I78" s="13">
        <f t="shared" si="3"/>
        <v>0</v>
      </c>
    </row>
    <row r="79" spans="1:9" ht="18" customHeight="1">
      <c r="A79" s="72"/>
      <c r="B79" s="68"/>
      <c r="C79" s="32" t="s">
        <v>27</v>
      </c>
      <c r="D79" s="25" t="s">
        <v>83</v>
      </c>
      <c r="E79" s="29">
        <f t="shared" si="1"/>
        <v>2</v>
      </c>
      <c r="F79" s="18">
        <v>0</v>
      </c>
      <c r="G79" s="18">
        <v>0</v>
      </c>
      <c r="H79" s="13">
        <f t="shared" si="2"/>
        <v>0</v>
      </c>
      <c r="I79" s="13">
        <f t="shared" si="3"/>
        <v>0</v>
      </c>
    </row>
    <row r="80" spans="1:9" ht="18" customHeight="1">
      <c r="A80" s="72"/>
      <c r="B80" s="68"/>
      <c r="C80" s="32" t="s">
        <v>28</v>
      </c>
      <c r="D80" s="25" t="s">
        <v>81</v>
      </c>
      <c r="E80" s="29">
        <f t="shared" si="1"/>
        <v>0.5</v>
      </c>
      <c r="F80" s="18">
        <v>0</v>
      </c>
      <c r="G80" s="18">
        <v>1</v>
      </c>
      <c r="H80" s="13">
        <f t="shared" si="2"/>
        <v>0</v>
      </c>
      <c r="I80" s="13">
        <f t="shared" si="3"/>
        <v>1</v>
      </c>
    </row>
    <row r="81" spans="1:9" ht="18" customHeight="1">
      <c r="A81" s="72"/>
      <c r="B81" s="68"/>
      <c r="C81" s="32" t="s">
        <v>29</v>
      </c>
      <c r="D81" s="25" t="s">
        <v>82</v>
      </c>
      <c r="E81" s="29">
        <f t="shared" si="1"/>
        <v>0.5</v>
      </c>
      <c r="F81" s="18">
        <v>1</v>
      </c>
      <c r="G81" s="18">
        <v>0</v>
      </c>
      <c r="H81" s="13">
        <f>F81</f>
        <v>1</v>
      </c>
      <c r="I81" s="13">
        <f>G81</f>
        <v>0</v>
      </c>
    </row>
    <row r="82" spans="1:9" ht="18" customHeight="1">
      <c r="A82" s="72" t="s">
        <v>193</v>
      </c>
      <c r="B82" s="68"/>
      <c r="C82" s="59"/>
      <c r="D82" s="8"/>
      <c r="E82" s="60"/>
      <c r="F82" s="61" t="s">
        <v>183</v>
      </c>
      <c r="G82" s="61" t="s">
        <v>183</v>
      </c>
      <c r="H82" s="61" t="s">
        <v>183</v>
      </c>
      <c r="I82" s="61" t="s">
        <v>183</v>
      </c>
    </row>
    <row r="83" spans="1:9" ht="18" customHeight="1">
      <c r="A83" s="72"/>
      <c r="B83" s="68"/>
      <c r="C83" s="31" t="s">
        <v>19</v>
      </c>
      <c r="D83" s="25"/>
      <c r="E83" s="25"/>
      <c r="F83" s="28">
        <f aca="true" t="shared" si="4" ref="F83:G94">$E70*F70</f>
        <v>2.25</v>
      </c>
      <c r="G83" s="28">
        <f t="shared" si="4"/>
        <v>3.75</v>
      </c>
      <c r="H83" s="28">
        <f aca="true" t="shared" si="5" ref="H83:I94">$E70*H70</f>
        <v>2.25</v>
      </c>
      <c r="I83" s="28">
        <f t="shared" si="5"/>
        <v>3.75</v>
      </c>
    </row>
    <row r="84" spans="1:9" ht="18" customHeight="1">
      <c r="A84" s="72"/>
      <c r="B84" s="68"/>
      <c r="C84" s="31" t="s">
        <v>20</v>
      </c>
      <c r="D84" s="25"/>
      <c r="E84" s="25"/>
      <c r="F84" s="28">
        <f t="shared" si="4"/>
        <v>0</v>
      </c>
      <c r="G84" s="28">
        <f t="shared" si="4"/>
        <v>0</v>
      </c>
      <c r="H84" s="28">
        <f t="shared" si="5"/>
        <v>0</v>
      </c>
      <c r="I84" s="28">
        <f t="shared" si="5"/>
        <v>0</v>
      </c>
    </row>
    <row r="85" spans="1:9" ht="18" customHeight="1">
      <c r="A85" s="72"/>
      <c r="B85" s="68"/>
      <c r="C85" s="31" t="s">
        <v>21</v>
      </c>
      <c r="D85" s="25"/>
      <c r="E85" s="25"/>
      <c r="F85" s="28">
        <f t="shared" si="4"/>
        <v>0.4</v>
      </c>
      <c r="G85" s="28">
        <f t="shared" si="4"/>
        <v>1.2000000000000002</v>
      </c>
      <c r="H85" s="28">
        <f t="shared" si="5"/>
        <v>0.4</v>
      </c>
      <c r="I85" s="28">
        <f t="shared" si="5"/>
        <v>1.2000000000000002</v>
      </c>
    </row>
    <row r="86" spans="1:9" ht="18" customHeight="1">
      <c r="A86" s="72"/>
      <c r="B86" s="68"/>
      <c r="C86" s="31" t="s">
        <v>22</v>
      </c>
      <c r="D86" s="25"/>
      <c r="E86" s="25"/>
      <c r="F86" s="28">
        <f t="shared" si="4"/>
        <v>0</v>
      </c>
      <c r="G86" s="28">
        <f t="shared" si="4"/>
        <v>0</v>
      </c>
      <c r="H86" s="28">
        <f t="shared" si="5"/>
        <v>0</v>
      </c>
      <c r="I86" s="28">
        <f t="shared" si="5"/>
        <v>0</v>
      </c>
    </row>
    <row r="87" spans="1:9" ht="18" customHeight="1">
      <c r="A87" s="72"/>
      <c r="B87" s="68"/>
      <c r="C87" s="31" t="s">
        <v>23</v>
      </c>
      <c r="D87" s="25"/>
      <c r="E87" s="25"/>
      <c r="F87" s="28">
        <f t="shared" si="4"/>
        <v>0</v>
      </c>
      <c r="G87" s="28">
        <f t="shared" si="4"/>
        <v>0</v>
      </c>
      <c r="H87" s="28">
        <f t="shared" si="5"/>
        <v>0</v>
      </c>
      <c r="I87" s="28">
        <f t="shared" si="5"/>
        <v>0</v>
      </c>
    </row>
    <row r="88" spans="1:9" ht="18" customHeight="1">
      <c r="A88" s="72"/>
      <c r="B88" s="68"/>
      <c r="C88" s="31" t="s">
        <v>24</v>
      </c>
      <c r="D88" s="25"/>
      <c r="E88" s="25"/>
      <c r="F88" s="28">
        <f t="shared" si="4"/>
        <v>0</v>
      </c>
      <c r="G88" s="28">
        <f t="shared" si="4"/>
        <v>2</v>
      </c>
      <c r="H88" s="28">
        <f t="shared" si="5"/>
        <v>0</v>
      </c>
      <c r="I88" s="28">
        <f t="shared" si="5"/>
        <v>2</v>
      </c>
    </row>
    <row r="89" spans="1:9" ht="18" customHeight="1">
      <c r="A89" s="72"/>
      <c r="B89" s="68"/>
      <c r="C89" s="31" t="s">
        <v>25</v>
      </c>
      <c r="D89" s="25"/>
      <c r="E89" s="25"/>
      <c r="F89" s="28">
        <f t="shared" si="4"/>
        <v>0</v>
      </c>
      <c r="G89" s="28">
        <f t="shared" si="4"/>
        <v>0</v>
      </c>
      <c r="H89" s="28">
        <f t="shared" si="5"/>
        <v>0</v>
      </c>
      <c r="I89" s="28">
        <f t="shared" si="5"/>
        <v>0</v>
      </c>
    </row>
    <row r="90" spans="1:9" ht="18" customHeight="1">
      <c r="A90" s="72"/>
      <c r="B90" s="68"/>
      <c r="C90" s="31" t="s">
        <v>1</v>
      </c>
      <c r="D90" s="25"/>
      <c r="E90" s="25"/>
      <c r="F90" s="28">
        <f t="shared" si="4"/>
        <v>9</v>
      </c>
      <c r="G90" s="28">
        <f t="shared" si="4"/>
        <v>45</v>
      </c>
      <c r="H90" s="28">
        <f t="shared" si="5"/>
        <v>9</v>
      </c>
      <c r="I90" s="28">
        <f t="shared" si="5"/>
        <v>45</v>
      </c>
    </row>
    <row r="91" spans="1:9" ht="18" customHeight="1">
      <c r="A91" s="72"/>
      <c r="B91" s="68"/>
      <c r="C91" s="31" t="s">
        <v>26</v>
      </c>
      <c r="D91" s="25"/>
      <c r="E91" s="25"/>
      <c r="F91" s="28">
        <f t="shared" si="4"/>
        <v>0</v>
      </c>
      <c r="G91" s="28">
        <f t="shared" si="4"/>
        <v>0</v>
      </c>
      <c r="H91" s="28">
        <f t="shared" si="5"/>
        <v>0</v>
      </c>
      <c r="I91" s="28">
        <f t="shared" si="5"/>
        <v>0</v>
      </c>
    </row>
    <row r="92" spans="1:9" ht="18" customHeight="1">
      <c r="A92" s="72"/>
      <c r="B92" s="68"/>
      <c r="C92" s="31" t="s">
        <v>27</v>
      </c>
      <c r="D92" s="25"/>
      <c r="E92" s="25"/>
      <c r="F92" s="28">
        <f t="shared" si="4"/>
        <v>0</v>
      </c>
      <c r="G92" s="28">
        <f t="shared" si="4"/>
        <v>0</v>
      </c>
      <c r="H92" s="28">
        <f t="shared" si="5"/>
        <v>0</v>
      </c>
      <c r="I92" s="28">
        <f t="shared" si="5"/>
        <v>0</v>
      </c>
    </row>
    <row r="93" spans="1:9" ht="18" customHeight="1">
      <c r="A93" s="72"/>
      <c r="B93" s="68"/>
      <c r="C93" s="31" t="s">
        <v>28</v>
      </c>
      <c r="D93" s="25"/>
      <c r="E93" s="25"/>
      <c r="F93" s="28">
        <f t="shared" si="4"/>
        <v>0</v>
      </c>
      <c r="G93" s="28">
        <f t="shared" si="4"/>
        <v>0.5</v>
      </c>
      <c r="H93" s="28">
        <f t="shared" si="5"/>
        <v>0</v>
      </c>
      <c r="I93" s="28">
        <f t="shared" si="5"/>
        <v>0.5</v>
      </c>
    </row>
    <row r="94" spans="1:9" ht="18" customHeight="1">
      <c r="A94" s="72"/>
      <c r="B94" s="70"/>
      <c r="C94" s="31" t="s">
        <v>29</v>
      </c>
      <c r="D94" s="25"/>
      <c r="E94" s="25"/>
      <c r="F94" s="28">
        <f>$E81*F81</f>
        <v>0.5</v>
      </c>
      <c r="G94" s="28">
        <f t="shared" si="4"/>
        <v>0</v>
      </c>
      <c r="H94" s="28">
        <f t="shared" si="5"/>
        <v>0.5</v>
      </c>
      <c r="I94" s="28">
        <f t="shared" si="5"/>
        <v>0</v>
      </c>
    </row>
    <row r="95" spans="1:9" ht="14.25" customHeight="1">
      <c r="A95" s="53"/>
      <c r="F95" s="51"/>
      <c r="G95" s="51"/>
      <c r="H95" s="51"/>
      <c r="I95" s="51"/>
    </row>
    <row r="96" ht="14.25" customHeight="1">
      <c r="A96" s="53"/>
    </row>
    <row r="97" ht="14.25" customHeight="1">
      <c r="A97" s="53"/>
    </row>
    <row r="98" spans="1:11" ht="14.25" customHeight="1">
      <c r="A98" s="53"/>
      <c r="C98" s="44"/>
      <c r="D98" s="45" t="s">
        <v>122</v>
      </c>
      <c r="E98" s="41" t="s">
        <v>105</v>
      </c>
      <c r="F98" s="41" t="s">
        <v>106</v>
      </c>
      <c r="G98" s="48" t="s">
        <v>108</v>
      </c>
      <c r="H98" s="48"/>
      <c r="I98" s="48" t="s">
        <v>109</v>
      </c>
      <c r="J98" s="48" t="s">
        <v>110</v>
      </c>
      <c r="K98" s="48" t="s">
        <v>111</v>
      </c>
    </row>
    <row r="99" spans="1:11" ht="14.25" customHeight="1">
      <c r="A99" s="53"/>
      <c r="C99" s="44" t="s">
        <v>123</v>
      </c>
      <c r="D99" s="44">
        <v>0.35</v>
      </c>
      <c r="E99" s="41" t="s">
        <v>107</v>
      </c>
      <c r="F99" s="41"/>
      <c r="G99" s="48" t="s">
        <v>112</v>
      </c>
      <c r="H99" s="48" t="s">
        <v>113</v>
      </c>
      <c r="I99" s="48" t="s">
        <v>0</v>
      </c>
      <c r="J99" s="48" t="s">
        <v>0</v>
      </c>
      <c r="K99" s="48" t="s">
        <v>0</v>
      </c>
    </row>
    <row r="100" spans="1:11" ht="14.25" customHeight="1">
      <c r="A100" s="53"/>
      <c r="C100" s="44" t="s">
        <v>124</v>
      </c>
      <c r="D100" s="44">
        <v>0.2</v>
      </c>
      <c r="E100" s="42">
        <v>1000</v>
      </c>
      <c r="F100" s="43">
        <v>0.001</v>
      </c>
      <c r="G100" s="62">
        <v>0.125</v>
      </c>
      <c r="H100" s="47">
        <v>6</v>
      </c>
      <c r="I100" s="47">
        <v>10.5</v>
      </c>
      <c r="J100" s="47">
        <v>1.7</v>
      </c>
      <c r="K100" s="47">
        <v>7.1</v>
      </c>
    </row>
    <row r="101" spans="1:11" ht="14.25" customHeight="1">
      <c r="A101" s="53"/>
      <c r="C101" s="44" t="s">
        <v>125</v>
      </c>
      <c r="D101" s="44">
        <v>0.75</v>
      </c>
      <c r="E101" s="42">
        <v>900</v>
      </c>
      <c r="F101" s="43">
        <v>0.0011111111111111111</v>
      </c>
      <c r="G101" s="62">
        <v>0.25</v>
      </c>
      <c r="H101" s="47">
        <v>8</v>
      </c>
      <c r="I101" s="47">
        <v>13.8</v>
      </c>
      <c r="J101" s="47">
        <v>2.2</v>
      </c>
      <c r="K101" s="47">
        <v>9.4</v>
      </c>
    </row>
    <row r="102" spans="1:11" ht="14.25" customHeight="1">
      <c r="A102" s="53"/>
      <c r="C102" s="44" t="s">
        <v>126</v>
      </c>
      <c r="D102" s="44">
        <v>0.45</v>
      </c>
      <c r="E102" s="42">
        <v>800</v>
      </c>
      <c r="F102" s="43">
        <v>0.00125</v>
      </c>
      <c r="G102" s="62">
        <v>0.375</v>
      </c>
      <c r="H102" s="47">
        <v>10</v>
      </c>
      <c r="I102" s="47">
        <v>17.3</v>
      </c>
      <c r="J102" s="47">
        <v>2.3</v>
      </c>
      <c r="K102" s="47">
        <v>12.7</v>
      </c>
    </row>
    <row r="103" spans="1:11" ht="12">
      <c r="A103" s="53"/>
      <c r="C103" s="44" t="s">
        <v>127</v>
      </c>
      <c r="D103" s="44">
        <v>1.3</v>
      </c>
      <c r="E103" s="42">
        <v>710</v>
      </c>
      <c r="F103" s="43">
        <v>0.0014084507042253522</v>
      </c>
      <c r="G103" s="62">
        <v>0.5</v>
      </c>
      <c r="H103" s="47">
        <v>15</v>
      </c>
      <c r="I103" s="47">
        <v>21.7</v>
      </c>
      <c r="J103" s="47">
        <v>2.8</v>
      </c>
      <c r="K103" s="47">
        <v>14.3</v>
      </c>
    </row>
    <row r="104" spans="1:11" ht="12">
      <c r="A104" s="53"/>
      <c r="C104" s="44" t="s">
        <v>128</v>
      </c>
      <c r="D104" s="44">
        <v>1.5</v>
      </c>
      <c r="E104" s="42">
        <v>560</v>
      </c>
      <c r="F104" s="43">
        <v>0.0017857142857142857</v>
      </c>
      <c r="G104" s="62">
        <v>0.75</v>
      </c>
      <c r="H104" s="47">
        <v>20</v>
      </c>
      <c r="I104" s="47">
        <v>27.2</v>
      </c>
      <c r="J104" s="47">
        <v>2.9</v>
      </c>
      <c r="K104" s="47">
        <v>21.4</v>
      </c>
    </row>
    <row r="105" spans="1:11" ht="12">
      <c r="A105" s="53"/>
      <c r="C105" s="44" t="s">
        <v>129</v>
      </c>
      <c r="D105" s="44">
        <v>0.4</v>
      </c>
      <c r="E105" s="42">
        <v>500</v>
      </c>
      <c r="F105" s="43">
        <v>0.002</v>
      </c>
      <c r="G105" s="62">
        <v>1</v>
      </c>
      <c r="H105" s="47">
        <v>25</v>
      </c>
      <c r="I105" s="47">
        <v>34</v>
      </c>
      <c r="J105" s="47">
        <v>3.4</v>
      </c>
      <c r="K105" s="47">
        <v>18</v>
      </c>
    </row>
    <row r="106" spans="1:11" ht="12">
      <c r="A106" s="53"/>
      <c r="C106" s="44" t="s">
        <v>130</v>
      </c>
      <c r="D106" s="44">
        <v>1</v>
      </c>
      <c r="E106" s="42">
        <v>450</v>
      </c>
      <c r="F106" s="43">
        <v>0.0022222222222222222</v>
      </c>
      <c r="G106" s="62">
        <v>1.25</v>
      </c>
      <c r="H106" s="47">
        <v>32</v>
      </c>
      <c r="I106" s="47">
        <v>42.7</v>
      </c>
      <c r="J106" s="47">
        <v>3.6</v>
      </c>
      <c r="K106" s="47">
        <v>35.5</v>
      </c>
    </row>
    <row r="107" spans="1:11" ht="12">
      <c r="A107" s="53"/>
      <c r="C107" s="44" t="s">
        <v>131</v>
      </c>
      <c r="D107" s="44">
        <v>1</v>
      </c>
      <c r="E107" s="42">
        <v>400</v>
      </c>
      <c r="F107" s="43">
        <v>0.0025</v>
      </c>
      <c r="G107" s="62">
        <v>1.5</v>
      </c>
      <c r="H107" s="47">
        <v>40</v>
      </c>
      <c r="I107" s="47">
        <v>48.6</v>
      </c>
      <c r="J107" s="47">
        <v>3.7</v>
      </c>
      <c r="K107" s="47">
        <v>41.2</v>
      </c>
    </row>
    <row r="108" spans="1:11" ht="12">
      <c r="A108" s="53"/>
      <c r="C108" s="44" t="s">
        <v>132</v>
      </c>
      <c r="D108" s="44">
        <v>0.17</v>
      </c>
      <c r="E108" s="42">
        <v>355</v>
      </c>
      <c r="F108" s="43">
        <v>0.0028169014084507044</v>
      </c>
      <c r="G108" s="62">
        <v>2</v>
      </c>
      <c r="H108" s="47">
        <v>50</v>
      </c>
      <c r="I108" s="47">
        <v>60.5</v>
      </c>
      <c r="J108" s="47">
        <v>3.9</v>
      </c>
      <c r="K108" s="47">
        <v>52.7</v>
      </c>
    </row>
    <row r="109" spans="1:11" ht="12">
      <c r="A109" s="53"/>
      <c r="C109" s="44" t="s">
        <v>133</v>
      </c>
      <c r="D109" s="44">
        <v>0.9</v>
      </c>
      <c r="E109" s="42">
        <v>315</v>
      </c>
      <c r="F109" s="43">
        <v>0.0031746031746031746</v>
      </c>
      <c r="G109" s="62">
        <v>2.5</v>
      </c>
      <c r="H109" s="47">
        <v>65</v>
      </c>
      <c r="I109" s="47">
        <v>76.3</v>
      </c>
      <c r="J109" s="47">
        <v>5.2</v>
      </c>
      <c r="K109" s="47">
        <v>65.9</v>
      </c>
    </row>
    <row r="110" spans="1:11" ht="12">
      <c r="A110" s="53"/>
      <c r="C110" s="44" t="s">
        <v>134</v>
      </c>
      <c r="D110" s="44">
        <v>4.5</v>
      </c>
      <c r="E110" s="42">
        <v>280</v>
      </c>
      <c r="F110" s="43">
        <v>0.0035714285714285713</v>
      </c>
      <c r="G110" s="62">
        <v>3</v>
      </c>
      <c r="H110" s="47">
        <v>80</v>
      </c>
      <c r="I110" s="47">
        <v>89.1</v>
      </c>
      <c r="J110" s="47">
        <v>5.5</v>
      </c>
      <c r="K110" s="47">
        <v>78.1</v>
      </c>
    </row>
    <row r="111" spans="1:11" ht="12">
      <c r="A111" s="53"/>
      <c r="C111" s="44" t="s">
        <v>135</v>
      </c>
      <c r="D111" s="44">
        <v>24</v>
      </c>
      <c r="E111" s="42">
        <v>250</v>
      </c>
      <c r="F111" s="43">
        <v>0.004</v>
      </c>
      <c r="G111" s="62">
        <v>3.5</v>
      </c>
      <c r="H111" s="47">
        <v>90</v>
      </c>
      <c r="I111" s="47">
        <v>101.6</v>
      </c>
      <c r="J111" s="47">
        <v>5.7</v>
      </c>
      <c r="K111" s="47">
        <v>90.2</v>
      </c>
    </row>
    <row r="112" spans="1:11" ht="12">
      <c r="A112" s="53"/>
      <c r="C112" s="44" t="s">
        <v>136</v>
      </c>
      <c r="D112" s="44">
        <v>2.3</v>
      </c>
      <c r="E112" s="42">
        <v>200</v>
      </c>
      <c r="F112" s="43">
        <v>0.005</v>
      </c>
      <c r="G112" s="62">
        <v>4</v>
      </c>
      <c r="H112" s="47">
        <v>100</v>
      </c>
      <c r="I112" s="47">
        <v>114.3</v>
      </c>
      <c r="J112" s="47">
        <v>6</v>
      </c>
      <c r="K112" s="47">
        <v>102.3</v>
      </c>
    </row>
    <row r="113" spans="1:11" ht="12">
      <c r="A113" s="53"/>
      <c r="C113" s="44" t="s">
        <v>30</v>
      </c>
      <c r="D113" s="44">
        <v>2.6</v>
      </c>
      <c r="E113" s="42">
        <v>160</v>
      </c>
      <c r="F113" s="43">
        <v>0.00625</v>
      </c>
      <c r="G113" s="62">
        <v>5</v>
      </c>
      <c r="H113" s="47">
        <v>125</v>
      </c>
      <c r="I113" s="47">
        <v>139.8</v>
      </c>
      <c r="J113" s="47">
        <v>6.6</v>
      </c>
      <c r="K113" s="47">
        <v>126.6</v>
      </c>
    </row>
    <row r="114" spans="1:11" ht="12">
      <c r="A114" s="53"/>
      <c r="C114" s="44" t="s">
        <v>31</v>
      </c>
      <c r="D114" s="44">
        <v>4.3</v>
      </c>
      <c r="E114" s="42">
        <v>132</v>
      </c>
      <c r="F114" s="43">
        <v>0.007575757575757576</v>
      </c>
      <c r="G114" s="62">
        <v>6</v>
      </c>
      <c r="H114" s="47">
        <v>150</v>
      </c>
      <c r="I114" s="47">
        <v>165.2</v>
      </c>
      <c r="J114" s="47">
        <v>7.1</v>
      </c>
      <c r="K114" s="47">
        <v>151</v>
      </c>
    </row>
    <row r="115" spans="1:11" ht="12">
      <c r="A115" s="53"/>
      <c r="C115" s="44" t="s">
        <v>32</v>
      </c>
      <c r="D115" s="44">
        <v>21</v>
      </c>
      <c r="E115" s="42">
        <v>110</v>
      </c>
      <c r="F115" s="43">
        <v>0.00909090909090909</v>
      </c>
      <c r="G115" s="62">
        <v>8</v>
      </c>
      <c r="H115" s="47">
        <v>200</v>
      </c>
      <c r="I115" s="47">
        <v>216.3</v>
      </c>
      <c r="J115" s="47">
        <v>8.2</v>
      </c>
      <c r="K115" s="47">
        <v>199.9</v>
      </c>
    </row>
    <row r="116" spans="1:11" ht="12">
      <c r="A116" s="53"/>
      <c r="C116" s="44" t="s">
        <v>1</v>
      </c>
      <c r="D116" s="44">
        <v>9</v>
      </c>
      <c r="E116" s="42">
        <v>90</v>
      </c>
      <c r="F116" s="43">
        <v>0.011111111111111112</v>
      </c>
      <c r="G116" s="62">
        <v>10</v>
      </c>
      <c r="H116" s="47">
        <v>250</v>
      </c>
      <c r="I116" s="47">
        <v>267.4</v>
      </c>
      <c r="J116" s="47">
        <v>9.3</v>
      </c>
      <c r="K116" s="47">
        <v>248.8</v>
      </c>
    </row>
    <row r="117" spans="1:11" ht="12">
      <c r="A117" s="53"/>
      <c r="C117" s="44" t="s">
        <v>33</v>
      </c>
      <c r="D117" s="44">
        <v>13</v>
      </c>
      <c r="E117" s="42">
        <v>75</v>
      </c>
      <c r="F117" s="43">
        <v>0.013333333333333334</v>
      </c>
      <c r="G117" s="62">
        <v>12</v>
      </c>
      <c r="H117" s="47">
        <v>300</v>
      </c>
      <c r="I117" s="47">
        <v>318.5</v>
      </c>
      <c r="J117" s="47">
        <v>10.3</v>
      </c>
      <c r="K117" s="47">
        <v>297.9</v>
      </c>
    </row>
    <row r="118" spans="1:11" ht="12">
      <c r="A118" s="53"/>
      <c r="C118" s="44" t="s">
        <v>34</v>
      </c>
      <c r="D118" s="44">
        <v>36</v>
      </c>
      <c r="E118" s="42">
        <v>55</v>
      </c>
      <c r="F118" s="43">
        <v>0.01818181818181818</v>
      </c>
      <c r="G118" s="62">
        <v>14</v>
      </c>
      <c r="H118" s="47">
        <v>350</v>
      </c>
      <c r="I118" s="47">
        <v>355.6</v>
      </c>
      <c r="J118" s="47">
        <v>11.1</v>
      </c>
      <c r="K118" s="47">
        <v>333.4</v>
      </c>
    </row>
    <row r="119" spans="1:11" ht="12">
      <c r="A119" s="53"/>
      <c r="C119" s="44" t="s">
        <v>35</v>
      </c>
      <c r="D119" s="44">
        <v>112</v>
      </c>
      <c r="E119" s="42">
        <v>37</v>
      </c>
      <c r="F119" s="43">
        <v>0.02702702702702703</v>
      </c>
      <c r="G119" s="62">
        <v>16</v>
      </c>
      <c r="H119" s="47">
        <v>400</v>
      </c>
      <c r="I119" s="47">
        <v>406.4</v>
      </c>
      <c r="J119" s="47">
        <v>12.7</v>
      </c>
      <c r="K119" s="47">
        <v>381</v>
      </c>
    </row>
    <row r="120" spans="1:11" ht="12">
      <c r="A120" s="53"/>
      <c r="C120" s="44" t="s">
        <v>137</v>
      </c>
      <c r="D120" s="44">
        <v>2</v>
      </c>
      <c r="E120" s="42">
        <v>30</v>
      </c>
      <c r="F120" s="43">
        <v>0.03333333333333333</v>
      </c>
      <c r="G120" s="62">
        <v>18</v>
      </c>
      <c r="H120" s="47">
        <v>450</v>
      </c>
      <c r="I120" s="47">
        <v>457.2</v>
      </c>
      <c r="J120" s="47">
        <v>14.3</v>
      </c>
      <c r="K120" s="47">
        <v>428.6</v>
      </c>
    </row>
    <row r="121" spans="1:11" ht="12">
      <c r="A121" s="53"/>
      <c r="C121" s="44" t="s">
        <v>138</v>
      </c>
      <c r="D121" s="44">
        <v>0.24</v>
      </c>
      <c r="E121" s="42">
        <v>22</v>
      </c>
      <c r="F121" s="43">
        <v>0.045454545454545456</v>
      </c>
      <c r="G121" s="62">
        <v>20</v>
      </c>
      <c r="H121" s="47">
        <v>500</v>
      </c>
      <c r="I121" s="47">
        <v>508</v>
      </c>
      <c r="J121" s="47">
        <v>15.1</v>
      </c>
      <c r="K121" s="47">
        <v>477.8</v>
      </c>
    </row>
    <row r="122" spans="1:11" ht="12">
      <c r="A122" s="53"/>
      <c r="C122" s="44" t="s">
        <v>139</v>
      </c>
      <c r="D122" s="44">
        <v>0.52</v>
      </c>
      <c r="E122" s="42">
        <v>15</v>
      </c>
      <c r="F122" s="43">
        <v>0.06666666666666667</v>
      </c>
      <c r="G122" s="62">
        <v>24</v>
      </c>
      <c r="H122" s="47">
        <v>600</v>
      </c>
      <c r="I122" s="47">
        <v>610</v>
      </c>
      <c r="J122" s="47">
        <v>18.8</v>
      </c>
      <c r="K122" s="47">
        <v>572.4</v>
      </c>
    </row>
    <row r="123" spans="1:11" ht="12">
      <c r="A123" s="53"/>
      <c r="C123" s="44" t="s">
        <v>140</v>
      </c>
      <c r="D123" s="44">
        <v>1.54</v>
      </c>
      <c r="E123" s="42">
        <v>11</v>
      </c>
      <c r="F123" s="43">
        <v>0.09090909090909091</v>
      </c>
      <c r="G123" s="47"/>
      <c r="H123" s="47"/>
      <c r="I123" s="47"/>
      <c r="J123" s="47"/>
      <c r="K123" s="47"/>
    </row>
    <row r="124" spans="1:11" ht="12">
      <c r="A124" s="53"/>
      <c r="C124" s="44" t="s">
        <v>141</v>
      </c>
      <c r="D124" s="44">
        <v>10.8</v>
      </c>
      <c r="E124" s="42">
        <v>7.5</v>
      </c>
      <c r="F124" s="43">
        <v>0.13333333333333333</v>
      </c>
      <c r="G124" s="47"/>
      <c r="H124" s="47"/>
      <c r="I124" s="47"/>
      <c r="J124" s="47"/>
      <c r="K124" s="47"/>
    </row>
    <row r="125" spans="1:6" ht="12">
      <c r="A125" s="53"/>
      <c r="C125" s="44" t="s">
        <v>142</v>
      </c>
      <c r="D125" s="44">
        <v>118</v>
      </c>
      <c r="E125" s="42">
        <v>5.5</v>
      </c>
      <c r="F125" s="43">
        <v>0.18181818181818182</v>
      </c>
    </row>
    <row r="126" spans="1:6" ht="12">
      <c r="A126" s="53"/>
      <c r="C126" s="44" t="s">
        <v>143</v>
      </c>
      <c r="D126" s="44">
        <v>2</v>
      </c>
      <c r="E126" s="42">
        <v>3.7</v>
      </c>
      <c r="F126" s="43">
        <v>0.27027027027027023</v>
      </c>
    </row>
    <row r="127" spans="1:6" ht="12">
      <c r="A127" s="53"/>
      <c r="C127" s="44" t="s">
        <v>144</v>
      </c>
      <c r="D127" s="44">
        <v>10</v>
      </c>
      <c r="E127" s="42">
        <v>2.2</v>
      </c>
      <c r="F127" s="43">
        <v>0.45454545454545453</v>
      </c>
    </row>
    <row r="128" spans="1:6" ht="12">
      <c r="A128" s="53"/>
      <c r="C128" s="44" t="s">
        <v>145</v>
      </c>
      <c r="D128" s="44">
        <v>70</v>
      </c>
      <c r="E128" s="42">
        <v>1.5</v>
      </c>
      <c r="F128" s="43">
        <v>0.6666666666666666</v>
      </c>
    </row>
    <row r="129" spans="1:6" ht="12">
      <c r="A129" s="53"/>
      <c r="C129" s="44" t="s">
        <v>146</v>
      </c>
      <c r="D129" s="44">
        <v>15</v>
      </c>
      <c r="E129" s="42">
        <v>0.75</v>
      </c>
      <c r="F129" s="43">
        <v>1.3333333333333333</v>
      </c>
    </row>
    <row r="130" spans="1:6" ht="12">
      <c r="A130" s="53"/>
      <c r="C130" s="44" t="s">
        <v>147</v>
      </c>
      <c r="D130" s="44">
        <v>0.5</v>
      </c>
      <c r="E130" s="42">
        <v>0.37</v>
      </c>
      <c r="F130" s="43">
        <v>2.7027027027027026</v>
      </c>
    </row>
    <row r="131" spans="1:6" ht="12">
      <c r="A131" s="53"/>
      <c r="C131" s="44" t="s">
        <v>148</v>
      </c>
      <c r="D131" s="44">
        <v>0.5</v>
      </c>
      <c r="E131" s="42">
        <v>0.18</v>
      </c>
      <c r="F131" s="43">
        <v>5.555555555555555</v>
      </c>
    </row>
    <row r="132" spans="1:6" ht="12">
      <c r="A132" s="53"/>
      <c r="E132" s="42">
        <v>0.09</v>
      </c>
      <c r="F132" s="43">
        <v>11.11111111111111</v>
      </c>
    </row>
    <row r="133" spans="1:6" ht="12">
      <c r="A133" s="53"/>
      <c r="E133" s="42">
        <v>0.06</v>
      </c>
      <c r="F133" s="43">
        <v>16.666666666666668</v>
      </c>
    </row>
    <row r="134" spans="1:6" ht="12">
      <c r="A134" s="53"/>
      <c r="E134" s="42">
        <v>0.045</v>
      </c>
      <c r="F134" s="43">
        <v>22.22222222222222</v>
      </c>
    </row>
    <row r="135" spans="1:6" ht="12">
      <c r="A135" s="53"/>
      <c r="E135" s="42">
        <v>0.03</v>
      </c>
      <c r="F135" s="43">
        <v>33.333333333333336</v>
      </c>
    </row>
    <row r="136" spans="1:6" ht="12">
      <c r="A136" s="53"/>
      <c r="E136" s="42">
        <v>0.015</v>
      </c>
      <c r="F136" s="43">
        <v>66.66666666666667</v>
      </c>
    </row>
    <row r="137" spans="1:6" ht="12">
      <c r="A137" s="53"/>
      <c r="E137" s="42">
        <v>0.008</v>
      </c>
      <c r="F137" s="43">
        <v>125</v>
      </c>
    </row>
  </sheetData>
  <sheetProtection/>
  <mergeCells count="23">
    <mergeCell ref="A69:A81"/>
    <mergeCell ref="A82:A94"/>
    <mergeCell ref="B17:E17"/>
    <mergeCell ref="F17:G17"/>
    <mergeCell ref="C44:C46"/>
    <mergeCell ref="C47:C49"/>
    <mergeCell ref="C31:C32"/>
    <mergeCell ref="D23:D24"/>
    <mergeCell ref="D44:D46"/>
    <mergeCell ref="D47:D49"/>
    <mergeCell ref="B70:B94"/>
    <mergeCell ref="B50:B68"/>
    <mergeCell ref="B37:B49"/>
    <mergeCell ref="C23:C24"/>
    <mergeCell ref="C25:C26"/>
    <mergeCell ref="B30:B36"/>
    <mergeCell ref="B23:B29"/>
    <mergeCell ref="C42:C43"/>
    <mergeCell ref="D42:D43"/>
    <mergeCell ref="D25:D26"/>
    <mergeCell ref="H17:I17"/>
    <mergeCell ref="B19:B22"/>
    <mergeCell ref="C18:E18"/>
  </mergeCells>
  <conditionalFormatting sqref="F53:I53">
    <cfRule type="cellIs" priority="1" dxfId="0" operator="greaterThan" stopIfTrue="1">
      <formula>25</formula>
    </cfRule>
  </conditionalFormatting>
  <printOptions/>
  <pageMargins left="0.3937007874015748" right="0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コムテック・クウェスト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PumpCalculation</dc:title>
  <dc:subject/>
  <dc:creator>小林　幸博</dc:creator>
  <cp:keywords/>
  <dc:description/>
  <cp:lastModifiedBy>Yukihiro Kobayashi</cp:lastModifiedBy>
  <dcterms:created xsi:type="dcterms:W3CDTF">2002-12-11T00:55:38Z</dcterms:created>
  <dcterms:modified xsi:type="dcterms:W3CDTF">2013-03-31T03:20:17Z</dcterms:modified>
  <cp:category/>
  <cp:version/>
  <cp:contentType/>
  <cp:contentStatus/>
</cp:coreProperties>
</file>