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5" windowWidth="18435" windowHeight="11820" activeTab="2"/>
  </bookViews>
  <sheets>
    <sheet name="LINEAR&amp;PCV" sheetId="1" r:id="rId1"/>
    <sheet name="EQ%&amp;PCV" sheetId="2" r:id="rId2"/>
    <sheet name="Cv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<sst xmlns="http://schemas.openxmlformats.org/spreadsheetml/2006/main" count="111" uniqueCount="53">
  <si>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流量</t>
  </si>
  <si>
    <t>Nm3/hr</t>
  </si>
  <si>
    <t>m3/hr</t>
  </si>
  <si>
    <t>分子量</t>
  </si>
  <si>
    <t>MPa(abs)</t>
  </si>
  <si>
    <t>kg/cm2</t>
  </si>
  <si>
    <t>温度</t>
  </si>
  <si>
    <t>deg.C</t>
  </si>
  <si>
    <t>Cv</t>
  </si>
  <si>
    <t>単位</t>
  </si>
  <si>
    <t>換算係数</t>
  </si>
  <si>
    <t>dP&lt;=P1/2</t>
  </si>
  <si>
    <t>dP&gt;P1/2</t>
  </si>
  <si>
    <t>出典</t>
  </si>
  <si>
    <t>工業プロセス用調節弁の実技ハンドブック：日本工業出版</t>
  </si>
  <si>
    <t>接続口径</t>
  </si>
  <si>
    <t>ポート径</t>
  </si>
  <si>
    <t>定格Cv値</t>
  </si>
  <si>
    <t>インチ</t>
  </si>
  <si>
    <t>A社</t>
  </si>
  <si>
    <t>B社</t>
  </si>
  <si>
    <t>Std</t>
  </si>
  <si>
    <t>単座グローブ弁</t>
  </si>
  <si>
    <t>Select Cv</t>
  </si>
  <si>
    <t>1/Cv</t>
  </si>
  <si>
    <t>Max</t>
  </si>
  <si>
    <t>Min</t>
  </si>
  <si>
    <t>開度</t>
  </si>
  <si>
    <t>kmol/hr</t>
  </si>
  <si>
    <t>Over %</t>
  </si>
  <si>
    <t>上流圧 P1</t>
  </si>
  <si>
    <t>下流圧 P2</t>
  </si>
  <si>
    <t>係数</t>
  </si>
  <si>
    <t>Cv選定では、開度20-90%のポートサイズを選定すること。</t>
  </si>
  <si>
    <t>流量@15℃&amp;1atm</t>
  </si>
  <si>
    <t>PCV 放出弁</t>
  </si>
  <si>
    <t>Over %</t>
  </si>
  <si>
    <t>kmol/hr</t>
  </si>
  <si>
    <t>Nm3/hr</t>
  </si>
  <si>
    <t>deg.C</t>
  </si>
  <si>
    <t>MPa(abs)</t>
  </si>
  <si>
    <t>kg/cm2</t>
  </si>
  <si>
    <t>Select Cv</t>
  </si>
  <si>
    <t>Max</t>
  </si>
  <si>
    <t>Min</t>
  </si>
  <si>
    <t>dP&gt;P1/2</t>
  </si>
  <si>
    <t>リニア特性の単座グローブ弁を対象としています。</t>
  </si>
  <si>
    <t>この係数を適当に変えると各種のポートサイズでの開度が計算できます。</t>
  </si>
  <si>
    <t>差圧が上流圧の半分より小さい場合、つまり、非閉塞流</t>
  </si>
  <si>
    <t>差圧が上流圧の半分より大きい場合、つまり、閉塞流</t>
  </si>
  <si>
    <t>91%および90%以上ではセルの色が変わります。</t>
  </si>
  <si>
    <t>ポートサイズ選択のためのdummy</t>
  </si>
  <si>
    <t>EQ%特性の単座グローブ弁を対象としています。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</si>
</sst>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_ "/>
    <numFmt numFmtId="181" formatCode="0.0%"/>
    <numFmt numFmtId="182" formatCode="0.0_ "/>
    <numFmt numFmtId="183" formatCode="0;_"/>
    <numFmt numFmtId="184" formatCode="0;_ "/>
    <numFmt numFmtId="185" formatCode="0.0;_ "/>
    <numFmt numFmtId="186" formatCode="0.000000_ "/>
    <numFmt numFmtId="187" formatCode="0;_ᴀ"/>
    <numFmt numFmtId="188" formatCode="0;_"/>
    <numFmt numFmtId="189" formatCode="#,##0.0;[Red]\-#,##0.0"/>
    <numFmt numFmtId="190" formatCode="#,##0_ "/>
    <numFmt numFmtId="191" formatCode="0.000000000000_ "/>
    <numFmt numFmtId="192" formatCode="0.00000000000_ "/>
    <numFmt numFmtId="193" formatCode="0.0000000000_ "/>
    <numFmt numFmtId="194" formatCode="0.000000000_ "/>
    <numFmt numFmtId="195" formatCode="0.00000000_ "/>
    <numFmt numFmtId="196" formatCode="0.0000000_ "/>
    <numFmt numFmtId="197" formatCode="0.000%"/>
    <numFmt numFmtId="198" formatCode="#,##0.0_ "/>
    <numFmt numFmtId="199" formatCode="#,##0.00_ "/>
  </numFmts>
  <fonts count="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3" borderId="1" xfId="17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78" fontId="0" fillId="3" borderId="1" xfId="0" applyNumberFormat="1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12" fontId="0" fillId="0" borderId="1" xfId="0" applyNumberFormat="1" applyBorder="1" applyAlignment="1">
      <alignment vertical="center"/>
    </xf>
    <xf numFmtId="12" fontId="0" fillId="2" borderId="1" xfId="0" applyNumberFormat="1" applyFill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3" borderId="1" xfId="0" applyNumberFormat="1" applyFill="1" applyBorder="1" applyAlignment="1">
      <alignment vertical="center"/>
    </xf>
    <xf numFmtId="181" fontId="0" fillId="0" borderId="1" xfId="15" applyNumberForma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9" fontId="0" fillId="3" borderId="1" xfId="15" applyFill="1" applyBorder="1" applyAlignment="1">
      <alignment vertical="center"/>
    </xf>
    <xf numFmtId="38" fontId="0" fillId="3" borderId="1" xfId="17" applyFill="1" applyBorder="1" applyAlignment="1">
      <alignment vertical="center"/>
    </xf>
    <xf numFmtId="9" fontId="0" fillId="3" borderId="1" xfId="15" applyFill="1" applyBorder="1" applyAlignment="1">
      <alignment vertical="center"/>
    </xf>
    <xf numFmtId="38" fontId="0" fillId="0" borderId="1" xfId="17" applyBorder="1" applyAlignment="1">
      <alignment vertical="center"/>
    </xf>
    <xf numFmtId="181" fontId="0" fillId="0" borderId="1" xfId="15" applyNumberFormat="1" applyBorder="1" applyAlignment="1">
      <alignment vertical="center"/>
    </xf>
    <xf numFmtId="0" fontId="0" fillId="0" borderId="2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80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Cv値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1"/>
          <c:w val="0.9377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'Cv'!$D$5</c:f>
              <c:strCache>
                <c:ptCount val="1"/>
                <c:pt idx="0">
                  <c:v>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'Cv'!$C$6:$C$17</c:f>
              <c:numCache/>
            </c:numRef>
          </c:xVal>
          <c:yVal>
            <c:numRef>
              <c:f>'Cv'!$D$6:$D$17</c:f>
              <c:numCache/>
            </c:numRef>
          </c:yVal>
          <c:smooth val="0"/>
        </c:ser>
        <c:ser>
          <c:idx val="1"/>
          <c:order val="1"/>
          <c:tx>
            <c:strRef>
              <c:f>'Cv'!$E$5</c:f>
              <c:strCache>
                <c:ptCount val="1"/>
                <c:pt idx="0">
                  <c:v>A社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'Cv'!$C$6:$C$17</c:f>
              <c:numCache/>
            </c:numRef>
          </c:xVal>
          <c:yVal>
            <c:numRef>
              <c:f>'Cv'!$E$6:$E$17</c:f>
              <c:numCache/>
            </c:numRef>
          </c:yVal>
          <c:smooth val="0"/>
        </c:ser>
        <c:ser>
          <c:idx val="2"/>
          <c:order val="2"/>
          <c:tx>
            <c:strRef>
              <c:f>'Cv'!$F$5</c:f>
              <c:strCache>
                <c:ptCount val="1"/>
                <c:pt idx="0">
                  <c:v>B社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'Cv'!$C$6:$C$17</c:f>
              <c:numCache/>
            </c:numRef>
          </c:xVal>
          <c:yVal>
            <c:numRef>
              <c:f>'Cv'!$F$6:$F$17</c:f>
              <c:numCache/>
            </c:numRef>
          </c:yVal>
          <c:smooth val="0"/>
        </c:ser>
        <c:axId val="58425535"/>
        <c:axId val="56067768"/>
      </c:scatterChart>
      <c:valAx>
        <c:axId val="58425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ポート径（インチ）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067768"/>
        <c:crosses val="autoZero"/>
        <c:crossBetween val="midCat"/>
        <c:dispUnits/>
      </c:valAx>
      <c:valAx>
        <c:axId val="560677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25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3</xdr:row>
      <xdr:rowOff>28575</xdr:rowOff>
    </xdr:from>
    <xdr:to>
      <xdr:col>17</xdr:col>
      <xdr:colOff>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6029325" y="485775"/>
        <a:ext cx="4371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workbookViewId="0" topLeftCell="A1">
      <selection activeCell="E26" sqref="E26"/>
    </sheetView>
  </sheetViews>
  <sheetFormatPr defaultColWidth="9.140625" defaultRowHeight="12"/>
  <cols>
    <col min="1" max="1" width="4.140625" style="0" customWidth="1"/>
    <col min="2" max="2" width="15.57421875" style="0" customWidth="1"/>
    <col min="3" max="3" width="7.8515625" style="0" customWidth="1"/>
    <col min="4" max="4" width="10.140625" style="0" customWidth="1"/>
  </cols>
  <sheetData>
    <row r="2" spans="2:4" ht="15" customHeight="1">
      <c r="B2" t="s">
        <v>13</v>
      </c>
      <c r="D2" t="s">
        <v>14</v>
      </c>
    </row>
    <row r="3" ht="15" customHeight="1">
      <c r="D3" t="s">
        <v>46</v>
      </c>
    </row>
    <row r="4" ht="15" customHeight="1"/>
    <row r="5" spans="2:6" ht="15" customHeight="1">
      <c r="B5" s="5" t="s">
        <v>35</v>
      </c>
      <c r="D5" s="5" t="s">
        <v>9</v>
      </c>
      <c r="E5" s="5"/>
      <c r="F5" s="5" t="s">
        <v>36</v>
      </c>
    </row>
    <row r="6" spans="2:6" ht="15" customHeight="1">
      <c r="B6" s="4" t="s">
        <v>0</v>
      </c>
      <c r="D6" s="16" t="s">
        <v>37</v>
      </c>
      <c r="E6" s="18">
        <v>3832.185563390263</v>
      </c>
      <c r="F6" s="19">
        <v>1</v>
      </c>
    </row>
    <row r="7" spans="2:6" ht="15" customHeight="1">
      <c r="B7" s="4" t="s">
        <v>0</v>
      </c>
      <c r="D7" s="4" t="s">
        <v>38</v>
      </c>
      <c r="E7" s="20">
        <f>E6*22.414*F6</f>
        <v>85894.60721782935</v>
      </c>
      <c r="F7" s="1"/>
    </row>
    <row r="8" spans="2:6" ht="15" customHeight="1">
      <c r="B8" s="4" t="s">
        <v>34</v>
      </c>
      <c r="D8" s="4" t="s">
        <v>2</v>
      </c>
      <c r="E8" s="20">
        <f>E7*(273.15+15)/273.15</f>
        <v>90611.4994318782</v>
      </c>
      <c r="F8" s="1"/>
    </row>
    <row r="9" spans="2:6" ht="15" customHeight="1">
      <c r="B9" s="4"/>
      <c r="D9" s="4"/>
      <c r="E9" s="1"/>
      <c r="F9" s="1"/>
    </row>
    <row r="10" spans="2:6" ht="15" customHeight="1">
      <c r="B10" s="4" t="s">
        <v>3</v>
      </c>
      <c r="D10" s="4"/>
      <c r="E10" s="8">
        <v>9.597910481917987</v>
      </c>
      <c r="F10" s="1"/>
    </row>
    <row r="11" spans="2:6" ht="15" customHeight="1">
      <c r="B11" s="4" t="s">
        <v>6</v>
      </c>
      <c r="D11" s="4" t="s">
        <v>39</v>
      </c>
      <c r="E11" s="14">
        <v>38</v>
      </c>
      <c r="F11" s="1"/>
    </row>
    <row r="12" spans="2:6" ht="15" customHeight="1">
      <c r="B12" s="4" t="s">
        <v>30</v>
      </c>
      <c r="D12" s="4" t="s">
        <v>40</v>
      </c>
      <c r="E12" s="14">
        <v>1.8</v>
      </c>
      <c r="F12" s="5" t="s">
        <v>10</v>
      </c>
    </row>
    <row r="13" spans="2:6" ht="15" customHeight="1">
      <c r="B13" s="4"/>
      <c r="D13" s="4" t="s">
        <v>41</v>
      </c>
      <c r="E13" s="3">
        <f>E12/F13</f>
        <v>18.355397200597977</v>
      </c>
      <c r="F13" s="7">
        <v>0.0980638</v>
      </c>
    </row>
    <row r="14" spans="2:6" ht="15" customHeight="1">
      <c r="B14" s="4" t="s">
        <v>31</v>
      </c>
      <c r="D14" s="4" t="s">
        <v>4</v>
      </c>
      <c r="E14" s="14">
        <v>0.3</v>
      </c>
      <c r="F14" s="1"/>
    </row>
    <row r="15" spans="2:6" ht="15" customHeight="1">
      <c r="B15" s="4"/>
      <c r="D15" s="4"/>
      <c r="E15" s="13">
        <f>E14/F13</f>
        <v>3.0592328667663296</v>
      </c>
      <c r="F15" s="1"/>
    </row>
    <row r="16" spans="2:6" ht="15" customHeight="1">
      <c r="B16" s="4"/>
      <c r="D16" s="4"/>
      <c r="E16" s="1"/>
      <c r="F16" s="1"/>
    </row>
    <row r="17" spans="2:6" ht="15" customHeight="1">
      <c r="B17" s="4" t="s">
        <v>8</v>
      </c>
      <c r="D17" s="4" t="s">
        <v>11</v>
      </c>
      <c r="E17" s="3">
        <f>E8/404*(E10/28.97*(273+E11)/((E13-E15)*(E13+E15)/2))^0.5</f>
        <v>177.8953866324951</v>
      </c>
      <c r="F17" s="1"/>
    </row>
    <row r="18" spans="2:6" ht="15" customHeight="1">
      <c r="B18" s="4"/>
      <c r="D18" s="4" t="s">
        <v>12</v>
      </c>
      <c r="E18" s="9">
        <f>E8/(248*E13)*(E10/28.97*(273+E11))^0.5</f>
        <v>202.0515302274668</v>
      </c>
      <c r="F18" s="3">
        <f>(248*E13)/(E10/28.97*(273+E11))^0.5</f>
        <v>448.45737782767117</v>
      </c>
    </row>
    <row r="19" ht="15" customHeight="1"/>
    <row r="20" spans="4:5" ht="15" customHeight="1">
      <c r="D20" s="4" t="s">
        <v>11</v>
      </c>
      <c r="E20" t="s">
        <v>48</v>
      </c>
    </row>
    <row r="21" spans="4:10" ht="15" customHeight="1">
      <c r="D21" s="5" t="s">
        <v>42</v>
      </c>
      <c r="E21" s="5" t="s">
        <v>27</v>
      </c>
      <c r="F21" s="5" t="s">
        <v>43</v>
      </c>
      <c r="G21" s="5" t="s">
        <v>44</v>
      </c>
      <c r="H21" s="5" t="s">
        <v>16</v>
      </c>
      <c r="I21" s="5" t="s">
        <v>32</v>
      </c>
      <c r="J21" t="s">
        <v>47</v>
      </c>
    </row>
    <row r="22" spans="2:10" ht="15" customHeight="1">
      <c r="B22" s="22" t="s">
        <v>51</v>
      </c>
      <c r="C22" s="1">
        <f>1/(E17*I22)</f>
        <v>0.005621281242474536</v>
      </c>
      <c r="D22" s="1">
        <f>1/VLOOKUP(C22,'Cv'!$D$25:$E$36,1,1)</f>
        <v>209</v>
      </c>
      <c r="E22" s="21">
        <f>(E17-G22)/(F22-G22)</f>
        <v>0.8481368354286452</v>
      </c>
      <c r="F22" s="1">
        <f>D22</f>
        <v>209</v>
      </c>
      <c r="G22" s="1">
        <f>F22/50</f>
        <v>4.18</v>
      </c>
      <c r="H22" s="10">
        <f>VLOOKUP(D22,'Cv'!$D$6:$G$17,4,0)</f>
        <v>4</v>
      </c>
      <c r="I22" s="14">
        <v>1</v>
      </c>
      <c r="J22" t="s">
        <v>33</v>
      </c>
    </row>
    <row r="23" spans="2:10" ht="15" customHeight="1">
      <c r="B23" s="22"/>
      <c r="C23" s="1">
        <f>1/(E17*I23)</f>
        <v>0.002810640621237268</v>
      </c>
      <c r="D23" s="1">
        <f>1/VLOOKUP(C23,'Cv'!$D$25:$E$36,1,1)</f>
        <v>436</v>
      </c>
      <c r="E23" s="21">
        <f>(E17-G23)/(F23-G23)</f>
        <v>0.3959356549159687</v>
      </c>
      <c r="F23" s="1">
        <f>D23</f>
        <v>436</v>
      </c>
      <c r="G23" s="1">
        <f>F23/50</f>
        <v>8.72</v>
      </c>
      <c r="H23" s="10">
        <f>VLOOKUP(D23,'Cv'!$D$6:$G$17,4,0)</f>
        <v>6</v>
      </c>
      <c r="I23" s="14">
        <v>2</v>
      </c>
      <c r="J23" t="s">
        <v>50</v>
      </c>
    </row>
    <row r="24" spans="2:9" ht="15" customHeight="1">
      <c r="B24" s="22"/>
      <c r="C24" s="1">
        <f>1/(E17*I24)</f>
        <v>0.0018737604141581784</v>
      </c>
      <c r="D24" s="1">
        <f>1/VLOOKUP(C24,'Cv'!$D$25:$E$36,1,1)</f>
        <v>734</v>
      </c>
      <c r="E24" s="21">
        <f>(E18-G24)/(F24-G24)</f>
        <v>0.2604842493291814</v>
      </c>
      <c r="F24" s="1">
        <f>D24</f>
        <v>734</v>
      </c>
      <c r="G24" s="1">
        <f>F24/50</f>
        <v>14.68</v>
      </c>
      <c r="H24" s="10">
        <f>VLOOKUP(D24,'Cv'!$D$6:$G$17,4,0)</f>
        <v>8</v>
      </c>
      <c r="I24" s="14">
        <v>3</v>
      </c>
    </row>
    <row r="25" ht="15" customHeight="1"/>
    <row r="26" spans="4:5" ht="15" customHeight="1">
      <c r="D26" s="4" t="s">
        <v>45</v>
      </c>
      <c r="E26" t="s">
        <v>49</v>
      </c>
    </row>
    <row r="27" spans="4:10" ht="15" customHeight="1">
      <c r="D27" s="5" t="s">
        <v>42</v>
      </c>
      <c r="E27" s="5" t="s">
        <v>27</v>
      </c>
      <c r="F27" s="5" t="s">
        <v>43</v>
      </c>
      <c r="G27" s="5" t="s">
        <v>44</v>
      </c>
      <c r="H27" s="5" t="s">
        <v>16</v>
      </c>
      <c r="I27" s="5" t="s">
        <v>32</v>
      </c>
      <c r="J27" t="s">
        <v>47</v>
      </c>
    </row>
    <row r="28" spans="2:10" ht="15" customHeight="1">
      <c r="B28" s="22" t="s">
        <v>51</v>
      </c>
      <c r="C28" s="1">
        <f>1/(E18*I28)</f>
        <v>0.004949232499621329</v>
      </c>
      <c r="D28" s="1">
        <f>1/VLOOKUP(C28,'Cv'!$D$25:$E$36,1,1)</f>
        <v>209</v>
      </c>
      <c r="E28" s="21">
        <f>(E18-G28)/(F28-G28)</f>
        <v>0.9660752379038512</v>
      </c>
      <c r="F28" s="1">
        <f>D28</f>
        <v>209</v>
      </c>
      <c r="G28" s="1">
        <f>F28/50</f>
        <v>4.18</v>
      </c>
      <c r="H28" s="10">
        <f>VLOOKUP(D28,'Cv'!$D$6:$G$17,4,0)</f>
        <v>4</v>
      </c>
      <c r="I28" s="13">
        <v>1</v>
      </c>
      <c r="J28" t="s">
        <v>33</v>
      </c>
    </row>
    <row r="29" spans="2:10" ht="15" customHeight="1">
      <c r="B29" s="22"/>
      <c r="C29" s="1">
        <f>1/(E18*I29)</f>
        <v>0.0024746162498106646</v>
      </c>
      <c r="D29" s="1">
        <f>1/VLOOKUP(C29,'Cv'!$D$25:$E$36,1,1)</f>
        <v>436</v>
      </c>
      <c r="E29" s="21">
        <f>(E18-G29)/(F29-G29)</f>
        <v>0.4524703478455973</v>
      </c>
      <c r="F29" s="1">
        <f>D29</f>
        <v>436</v>
      </c>
      <c r="G29" s="1">
        <f>F29/50</f>
        <v>8.72</v>
      </c>
      <c r="H29" s="10">
        <f>VLOOKUP(D29,'Cv'!$D$6:$G$17,4,0)</f>
        <v>6</v>
      </c>
      <c r="I29" s="13">
        <v>2</v>
      </c>
      <c r="J29" t="s">
        <v>50</v>
      </c>
    </row>
    <row r="30" spans="2:9" ht="15" customHeight="1">
      <c r="B30" s="22"/>
      <c r="C30" s="1">
        <f>1/(E18*I30)</f>
        <v>0.0016497441665404432</v>
      </c>
      <c r="D30" s="1">
        <f>1/VLOOKUP(C30,'Cv'!$D$25:$E$36,1,1)</f>
        <v>734</v>
      </c>
      <c r="E30" s="21">
        <f>(E18-G30)/(F30-G30)</f>
        <v>0.2604842493291814</v>
      </c>
      <c r="F30" s="1">
        <f>D30</f>
        <v>734</v>
      </c>
      <c r="G30" s="1">
        <f>F30/50</f>
        <v>14.68</v>
      </c>
      <c r="H30" s="10">
        <f>VLOOKUP(D30,'Cv'!$D$6:$G$17,4,0)</f>
        <v>8</v>
      </c>
      <c r="I30" s="13">
        <v>3</v>
      </c>
    </row>
  </sheetData>
  <mergeCells count="2">
    <mergeCell ref="B22:B24"/>
    <mergeCell ref="B28:B30"/>
  </mergeCells>
  <conditionalFormatting sqref="E28:E30 E22:E24">
    <cfRule type="cellIs" priority="1" dxfId="0" operator="greaterThan" stopIfTrue="1">
      <formula>0.91</formula>
    </cfRule>
    <cfRule type="cellIs" priority="2" dxfId="1" operator="greaterThan" stopIfTrue="1">
      <formula>0.9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0"/>
  <sheetViews>
    <sheetView workbookViewId="0" topLeftCell="A1">
      <selection activeCell="J12" sqref="J12"/>
    </sheetView>
  </sheetViews>
  <sheetFormatPr defaultColWidth="9.140625" defaultRowHeight="12"/>
  <cols>
    <col min="1" max="1" width="4.140625" style="0" customWidth="1"/>
    <col min="2" max="2" width="14.7109375" style="0" customWidth="1"/>
    <col min="3" max="3" width="8.7109375" style="0" customWidth="1"/>
    <col min="4" max="4" width="10.140625" style="0" customWidth="1"/>
  </cols>
  <sheetData>
    <row r="2" spans="2:4" ht="15" customHeight="1">
      <c r="B2" t="s">
        <v>13</v>
      </c>
      <c r="D2" t="s">
        <v>14</v>
      </c>
    </row>
    <row r="3" ht="15" customHeight="1">
      <c r="D3" t="s">
        <v>52</v>
      </c>
    </row>
    <row r="4" ht="15" customHeight="1"/>
    <row r="5" spans="2:6" ht="15" customHeight="1">
      <c r="B5" s="5" t="s">
        <v>35</v>
      </c>
      <c r="D5" s="5" t="s">
        <v>9</v>
      </c>
      <c r="E5" s="5"/>
      <c r="F5" s="5" t="s">
        <v>29</v>
      </c>
    </row>
    <row r="6" spans="2:6" ht="15" customHeight="1">
      <c r="B6" s="4" t="s">
        <v>0</v>
      </c>
      <c r="D6" s="16" t="s">
        <v>28</v>
      </c>
      <c r="E6" s="6">
        <v>3832.185563390263</v>
      </c>
      <c r="F6" s="17">
        <v>1.05</v>
      </c>
    </row>
    <row r="7" spans="2:6" ht="15" customHeight="1">
      <c r="B7" s="4" t="s">
        <v>0</v>
      </c>
      <c r="D7" s="4" t="s">
        <v>1</v>
      </c>
      <c r="E7" s="2">
        <f>E6*22.414*F6</f>
        <v>90189.33757872082</v>
      </c>
      <c r="F7" s="1"/>
    </row>
    <row r="8" spans="2:6" ht="15" customHeight="1">
      <c r="B8" s="4" t="s">
        <v>34</v>
      </c>
      <c r="D8" s="4" t="s">
        <v>2</v>
      </c>
      <c r="E8" s="2">
        <f>E7*(273.15+15)/273.15</f>
        <v>95142.0744034721</v>
      </c>
      <c r="F8" s="1"/>
    </row>
    <row r="9" spans="2:6" ht="15" customHeight="1">
      <c r="B9" s="4"/>
      <c r="D9" s="4"/>
      <c r="E9" s="1"/>
      <c r="F9" s="5" t="s">
        <v>10</v>
      </c>
    </row>
    <row r="10" spans="2:6" ht="15" customHeight="1">
      <c r="B10" s="4" t="s">
        <v>3</v>
      </c>
      <c r="D10" s="4"/>
      <c r="E10" s="8">
        <v>9.597910481917987</v>
      </c>
      <c r="F10" s="1"/>
    </row>
    <row r="11" spans="2:6" ht="15" customHeight="1">
      <c r="B11" s="4" t="s">
        <v>6</v>
      </c>
      <c r="D11" s="4" t="s">
        <v>7</v>
      </c>
      <c r="E11" s="14">
        <v>38</v>
      </c>
      <c r="F11" s="1"/>
    </row>
    <row r="12" spans="2:6" ht="15" customHeight="1">
      <c r="B12" s="4" t="s">
        <v>30</v>
      </c>
      <c r="D12" s="4" t="s">
        <v>4</v>
      </c>
      <c r="E12" s="14">
        <v>1.8</v>
      </c>
      <c r="F12" s="1"/>
    </row>
    <row r="13" spans="2:6" ht="15" customHeight="1">
      <c r="B13" s="4"/>
      <c r="D13" s="4" t="s">
        <v>5</v>
      </c>
      <c r="E13" s="13">
        <f>E12/F13</f>
        <v>18.355397200597977</v>
      </c>
      <c r="F13" s="7">
        <v>0.0980638</v>
      </c>
    </row>
    <row r="14" spans="2:6" ht="15" customHeight="1">
      <c r="B14" s="4" t="s">
        <v>31</v>
      </c>
      <c r="D14" s="4" t="s">
        <v>4</v>
      </c>
      <c r="E14" s="14">
        <v>0.3</v>
      </c>
      <c r="F14" s="1"/>
    </row>
    <row r="15" spans="2:6" ht="15" customHeight="1">
      <c r="B15" s="4"/>
      <c r="D15" s="4"/>
      <c r="E15" s="13">
        <f>E14/F15</f>
        <v>3.0592328667663296</v>
      </c>
      <c r="F15" s="7">
        <v>0.0980638</v>
      </c>
    </row>
    <row r="16" spans="2:6" ht="15" customHeight="1">
      <c r="B16" s="4"/>
      <c r="D16" s="4"/>
      <c r="E16" s="1"/>
      <c r="F16" s="1"/>
    </row>
    <row r="17" spans="2:6" ht="15" customHeight="1">
      <c r="B17" s="4" t="s">
        <v>8</v>
      </c>
      <c r="D17" s="4" t="s">
        <v>11</v>
      </c>
      <c r="E17" s="3">
        <f>E8/404*(E10/28.97*(273+E11)/((E13-E15)*(E13+E15)/2))^0.5</f>
        <v>186.79015596411983</v>
      </c>
      <c r="F17" s="1"/>
    </row>
    <row r="18" spans="2:6" ht="15.75" customHeight="1">
      <c r="B18" s="4"/>
      <c r="D18" s="4" t="s">
        <v>12</v>
      </c>
      <c r="E18" s="9">
        <f>E8/(248*E13)*(E10/28.97*(273+E11))^0.5</f>
        <v>212.1541067388401</v>
      </c>
      <c r="F18" s="3">
        <f>(248*E13)/(E10/28.97*(273+E11))^0.5</f>
        <v>448.45737782767117</v>
      </c>
    </row>
    <row r="19" ht="15" customHeight="1"/>
    <row r="20" spans="4:5" ht="15" customHeight="1">
      <c r="D20" s="4" t="s">
        <v>11</v>
      </c>
      <c r="E20" t="s">
        <v>48</v>
      </c>
    </row>
    <row r="21" spans="4:10" ht="15" customHeight="1">
      <c r="D21" s="5" t="s">
        <v>23</v>
      </c>
      <c r="E21" s="5" t="s">
        <v>27</v>
      </c>
      <c r="F21" s="5" t="s">
        <v>25</v>
      </c>
      <c r="G21" s="5" t="s">
        <v>26</v>
      </c>
      <c r="H21" s="5" t="s">
        <v>16</v>
      </c>
      <c r="I21" s="5" t="s">
        <v>32</v>
      </c>
      <c r="J21" t="s">
        <v>47</v>
      </c>
    </row>
    <row r="22" spans="2:10" ht="15" customHeight="1">
      <c r="B22" s="22" t="s">
        <v>51</v>
      </c>
      <c r="C22" s="1">
        <f>1/(E17*I22)</f>
        <v>0.005353601183309083</v>
      </c>
      <c r="D22" s="1">
        <f>1/VLOOKUP(C22,'Cv'!$D$25:$E$36,1,1)</f>
        <v>209</v>
      </c>
      <c r="E22" s="15">
        <f>(LN(E17/G22)/LN(50))^0.5</f>
        <v>0.985536019702373</v>
      </c>
      <c r="F22" s="1">
        <f>D22</f>
        <v>209</v>
      </c>
      <c r="G22" s="1">
        <f>F22/50</f>
        <v>4.18</v>
      </c>
      <c r="H22" s="10">
        <f>VLOOKUP(D22,'Cv'!$D$6:$G$17,4,0)</f>
        <v>4</v>
      </c>
      <c r="I22" s="14">
        <v>1</v>
      </c>
      <c r="J22" t="s">
        <v>33</v>
      </c>
    </row>
    <row r="23" spans="2:10" ht="15" customHeight="1">
      <c r="B23" s="22"/>
      <c r="C23" s="1">
        <f>1/(E17*I23)</f>
        <v>0.0026768005916545413</v>
      </c>
      <c r="D23" s="1">
        <f>1/VLOOKUP(C23,'Cv'!$D$25:$E$36,1,1)</f>
        <v>436</v>
      </c>
      <c r="E23" s="15">
        <f>(LN(E17/G23)/LN(50))^0.5</f>
        <v>0.8850537757632989</v>
      </c>
      <c r="F23" s="1">
        <f>D23</f>
        <v>436</v>
      </c>
      <c r="G23" s="1">
        <f>F23/50</f>
        <v>8.72</v>
      </c>
      <c r="H23" s="10">
        <f>VLOOKUP(D23,'Cv'!$D$6:$G$17,4,0)</f>
        <v>6</v>
      </c>
      <c r="I23" s="14">
        <v>2</v>
      </c>
      <c r="J23" t="s">
        <v>50</v>
      </c>
    </row>
    <row r="24" spans="2:9" ht="15" customHeight="1">
      <c r="B24" s="22"/>
      <c r="C24" s="1">
        <f>1/(E17*I24)</f>
        <v>0.001784533727769694</v>
      </c>
      <c r="D24" s="1">
        <f>1/VLOOKUP(C24,'Cv'!$D$25:$E$36,1,1)</f>
        <v>734</v>
      </c>
      <c r="E24" s="15">
        <f>(LN(E17/G24)/LN(50))^0.5</f>
        <v>0.8063343368168422</v>
      </c>
      <c r="F24" s="1">
        <f>D24</f>
        <v>734</v>
      </c>
      <c r="G24" s="1">
        <f>F24/50</f>
        <v>14.68</v>
      </c>
      <c r="H24" s="10">
        <f>VLOOKUP(D24,'Cv'!$D$6:$G$17,4,0)</f>
        <v>8</v>
      </c>
      <c r="I24" s="14">
        <v>3</v>
      </c>
    </row>
    <row r="25" ht="15" customHeight="1"/>
    <row r="26" spans="4:5" ht="15" customHeight="1">
      <c r="D26" s="4" t="s">
        <v>45</v>
      </c>
      <c r="E26" t="s">
        <v>49</v>
      </c>
    </row>
    <row r="27" spans="4:10" ht="15" customHeight="1">
      <c r="D27" s="5" t="s">
        <v>42</v>
      </c>
      <c r="E27" s="5" t="s">
        <v>27</v>
      </c>
      <c r="F27" s="5" t="s">
        <v>25</v>
      </c>
      <c r="G27" s="5" t="s">
        <v>26</v>
      </c>
      <c r="H27" s="5" t="s">
        <v>16</v>
      </c>
      <c r="I27" s="5" t="s">
        <v>32</v>
      </c>
      <c r="J27" t="s">
        <v>47</v>
      </c>
    </row>
    <row r="28" spans="2:10" ht="15" customHeight="1">
      <c r="B28" s="22" t="s">
        <v>51</v>
      </c>
      <c r="C28" s="1">
        <f>1/(E18*I28)</f>
        <v>0.004713554761544123</v>
      </c>
      <c r="D28" s="1">
        <f>1/VLOOKUP(C28,'Cv'!$D$25:$E$36,1,1)</f>
        <v>436</v>
      </c>
      <c r="E28" s="15">
        <f>(LN(E18/G28)/LN(50))^0.5</f>
        <v>0.903254018846602</v>
      </c>
      <c r="F28" s="1">
        <f>D28</f>
        <v>436</v>
      </c>
      <c r="G28" s="1">
        <f>F28/50</f>
        <v>8.72</v>
      </c>
      <c r="H28" s="10">
        <f>VLOOKUP(D28,'Cv'!$D$6:$G$17,4,0)</f>
        <v>6</v>
      </c>
      <c r="I28" s="14">
        <v>1</v>
      </c>
      <c r="J28" t="s">
        <v>33</v>
      </c>
    </row>
    <row r="29" spans="2:10" ht="15" customHeight="1">
      <c r="B29" s="22"/>
      <c r="C29" s="1">
        <f>1/(E18*I29)</f>
        <v>0.0023567773807720615</v>
      </c>
      <c r="D29" s="1">
        <f>1/VLOOKUP(C29,'Cv'!$D$25:$E$36,1,1)</f>
        <v>436</v>
      </c>
      <c r="E29" s="15">
        <f>(LN(E18/G29)/LN(50))^0.5</f>
        <v>0.903254018846602</v>
      </c>
      <c r="F29" s="1">
        <f>D29</f>
        <v>436</v>
      </c>
      <c r="G29" s="1">
        <f>F29/50</f>
        <v>8.72</v>
      </c>
      <c r="H29" s="10">
        <f>VLOOKUP(D29,'Cv'!$D$6:$G$17,4,0)</f>
        <v>6</v>
      </c>
      <c r="I29" s="14">
        <v>2</v>
      </c>
      <c r="J29" t="s">
        <v>50</v>
      </c>
    </row>
    <row r="30" spans="2:9" ht="15" customHeight="1">
      <c r="B30" s="22"/>
      <c r="C30" s="1">
        <f>1/(E18*I30)</f>
        <v>0.0015711849205147079</v>
      </c>
      <c r="D30" s="1">
        <f>1/VLOOKUP(C30,'Cv'!$D$25:$E$36,1,1)</f>
        <v>734</v>
      </c>
      <c r="E30" s="15">
        <f>(LN(E18/G30)/LN(50))^0.5</f>
        <v>0.8262703548473238</v>
      </c>
      <c r="F30" s="1">
        <f>D30</f>
        <v>734</v>
      </c>
      <c r="G30" s="1">
        <f>F30/50</f>
        <v>14.68</v>
      </c>
      <c r="H30" s="10">
        <f>VLOOKUP(D30,'Cv'!$D$6:$G$17,4,0)</f>
        <v>8</v>
      </c>
      <c r="I30" s="14">
        <v>3</v>
      </c>
    </row>
  </sheetData>
  <mergeCells count="2">
    <mergeCell ref="B22:B24"/>
    <mergeCell ref="B28:B30"/>
  </mergeCells>
  <conditionalFormatting sqref="E22:E24 E28:E30">
    <cfRule type="cellIs" priority="1" dxfId="0" operator="greaterThan" stopIfTrue="1">
      <formula>0.91</formula>
    </cfRule>
    <cfRule type="cellIs" priority="2" dxfId="1" operator="greaterThan" stopIfTrue="1">
      <formula>0.9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6"/>
  <sheetViews>
    <sheetView tabSelected="1" workbookViewId="0" topLeftCell="A1">
      <selection activeCell="I10" sqref="I10"/>
    </sheetView>
  </sheetViews>
  <sheetFormatPr defaultColWidth="9.140625" defaultRowHeight="12"/>
  <cols>
    <col min="2" max="2" width="9.7109375" style="0" bestFit="1" customWidth="1"/>
  </cols>
  <sheetData>
    <row r="2" ht="12">
      <c r="B2" t="s">
        <v>22</v>
      </c>
    </row>
    <row r="4" spans="2:7" ht="14.25" customHeight="1">
      <c r="B4" s="4" t="s">
        <v>15</v>
      </c>
      <c r="C4" s="4" t="s">
        <v>16</v>
      </c>
      <c r="D4" s="4" t="s">
        <v>17</v>
      </c>
      <c r="E4" s="4"/>
      <c r="F4" s="4"/>
      <c r="G4" s="4" t="s">
        <v>16</v>
      </c>
    </row>
    <row r="5" spans="2:7" ht="14.25" customHeight="1">
      <c r="B5" s="5" t="s">
        <v>18</v>
      </c>
      <c r="C5" s="5" t="s">
        <v>18</v>
      </c>
      <c r="D5" s="5" t="s">
        <v>21</v>
      </c>
      <c r="E5" s="5" t="s">
        <v>19</v>
      </c>
      <c r="F5" s="5" t="s">
        <v>20</v>
      </c>
      <c r="G5" s="5" t="s">
        <v>18</v>
      </c>
    </row>
    <row r="6" spans="2:7" ht="14.25" customHeight="1">
      <c r="B6" s="11">
        <v>1</v>
      </c>
      <c r="C6" s="11">
        <v>1</v>
      </c>
      <c r="D6" s="1">
        <f>ROUND((E6+F6)/2,0)</f>
        <v>17</v>
      </c>
      <c r="E6" s="12">
        <f>15.858*C6^1.8129</f>
        <v>15.858</v>
      </c>
      <c r="F6" s="12">
        <f>17.964*C6^1.8135</f>
        <v>17.964</v>
      </c>
      <c r="G6" s="11">
        <v>1</v>
      </c>
    </row>
    <row r="7" spans="2:7" ht="14.25" customHeight="1">
      <c r="B7" s="11">
        <v>1.5</v>
      </c>
      <c r="C7" s="11">
        <v>1.5</v>
      </c>
      <c r="D7" s="1">
        <f aca="true" t="shared" si="0" ref="D7:D13">ROUND((E7+F7)/2,0)</f>
        <v>35</v>
      </c>
      <c r="E7" s="12">
        <f aca="true" t="shared" si="1" ref="E7:E17">15.858*C7^1.8129</f>
        <v>33.07381227619629</v>
      </c>
      <c r="F7" s="12">
        <f aca="true" t="shared" si="2" ref="F7:F17">17.964*C7^1.8135</f>
        <v>37.47525051337952</v>
      </c>
      <c r="G7" s="11">
        <v>1.5</v>
      </c>
    </row>
    <row r="8" spans="2:7" ht="14.25" customHeight="1">
      <c r="B8" s="11">
        <v>2</v>
      </c>
      <c r="C8" s="11">
        <v>2</v>
      </c>
      <c r="D8" s="1">
        <f t="shared" si="0"/>
        <v>59</v>
      </c>
      <c r="E8" s="12">
        <f t="shared" si="1"/>
        <v>55.716739337368125</v>
      </c>
      <c r="F8" s="12">
        <f t="shared" si="2"/>
        <v>63.14237941518818</v>
      </c>
      <c r="G8" s="11">
        <v>2</v>
      </c>
    </row>
    <row r="9" spans="2:7" ht="14.25" customHeight="1">
      <c r="B9" s="11">
        <v>2.5</v>
      </c>
      <c r="C9" s="11">
        <v>2.5</v>
      </c>
      <c r="D9" s="1">
        <f t="shared" si="0"/>
        <v>89</v>
      </c>
      <c r="E9" s="12">
        <f t="shared" si="1"/>
        <v>83.49757359272732</v>
      </c>
      <c r="F9" s="12">
        <f t="shared" si="2"/>
        <v>94.63837010589226</v>
      </c>
      <c r="G9" s="11">
        <v>2.5</v>
      </c>
    </row>
    <row r="10" spans="2:7" ht="14.25" customHeight="1">
      <c r="B10" s="11">
        <v>3</v>
      </c>
      <c r="C10" s="11">
        <v>3</v>
      </c>
      <c r="D10" s="1">
        <f t="shared" si="0"/>
        <v>124</v>
      </c>
      <c r="E10" s="12">
        <f t="shared" si="1"/>
        <v>116.20412268166699</v>
      </c>
      <c r="F10" s="12">
        <f t="shared" si="2"/>
        <v>131.72325131346227</v>
      </c>
      <c r="G10" s="11">
        <v>3</v>
      </c>
    </row>
    <row r="11" spans="2:7" ht="14.25" customHeight="1">
      <c r="B11" s="11">
        <v>4</v>
      </c>
      <c r="C11" s="11">
        <v>4</v>
      </c>
      <c r="D11" s="1">
        <f t="shared" si="0"/>
        <v>209</v>
      </c>
      <c r="E11" s="12">
        <f t="shared" si="1"/>
        <v>195.7595562106334</v>
      </c>
      <c r="F11" s="12">
        <f t="shared" si="2"/>
        <v>221.9416654537731</v>
      </c>
      <c r="G11" s="11">
        <v>4</v>
      </c>
    </row>
    <row r="12" spans="2:7" ht="14.25" customHeight="1">
      <c r="B12" s="11">
        <v>6</v>
      </c>
      <c r="C12" s="11">
        <v>6</v>
      </c>
      <c r="D12" s="1">
        <f t="shared" si="0"/>
        <v>436</v>
      </c>
      <c r="E12" s="12">
        <f t="shared" si="1"/>
        <v>408.28066675381405</v>
      </c>
      <c r="F12" s="12">
        <f t="shared" si="2"/>
        <v>462.999304845069</v>
      </c>
      <c r="G12" s="11">
        <v>6</v>
      </c>
    </row>
    <row r="13" spans="2:7" ht="14.25" customHeight="1">
      <c r="B13" s="11">
        <v>8</v>
      </c>
      <c r="C13" s="11">
        <v>8</v>
      </c>
      <c r="D13" s="1">
        <f t="shared" si="0"/>
        <v>734</v>
      </c>
      <c r="E13" s="12">
        <f t="shared" si="1"/>
        <v>687.7969583924025</v>
      </c>
      <c r="F13" s="12">
        <f t="shared" si="2"/>
        <v>780.1116036584784</v>
      </c>
      <c r="G13" s="11">
        <v>8</v>
      </c>
    </row>
    <row r="14" spans="2:7" ht="14.25" customHeight="1">
      <c r="B14" s="11">
        <v>10</v>
      </c>
      <c r="C14" s="11">
        <v>10</v>
      </c>
      <c r="D14" s="1">
        <f>ROUND((E14+F14)/2,0)</f>
        <v>1100</v>
      </c>
      <c r="E14" s="12">
        <f t="shared" si="1"/>
        <v>1030.7382993553422</v>
      </c>
      <c r="F14" s="12">
        <f t="shared" si="2"/>
        <v>1169.2383365137116</v>
      </c>
      <c r="G14" s="11">
        <v>10</v>
      </c>
    </row>
    <row r="15" spans="2:7" ht="14.25" customHeight="1">
      <c r="B15" s="11">
        <v>12</v>
      </c>
      <c r="C15" s="11">
        <v>12</v>
      </c>
      <c r="D15" s="1">
        <f>ROUND((E15+F15)/2,0)</f>
        <v>1531</v>
      </c>
      <c r="E15" s="12">
        <f t="shared" si="1"/>
        <v>1434.4852746884303</v>
      </c>
      <c r="F15" s="12">
        <f t="shared" si="2"/>
        <v>1627.4147058280855</v>
      </c>
      <c r="G15" s="11">
        <v>12</v>
      </c>
    </row>
    <row r="16" spans="2:7" ht="14.25" customHeight="1">
      <c r="B16" s="11">
        <v>14</v>
      </c>
      <c r="C16" s="11">
        <v>14</v>
      </c>
      <c r="D16" s="1">
        <f>ROUND((E16+F16)/2,0)</f>
        <v>2025</v>
      </c>
      <c r="E16" s="12">
        <f t="shared" si="1"/>
        <v>1896.985142326781</v>
      </c>
      <c r="F16" s="12">
        <f t="shared" si="2"/>
        <v>2152.3170155325506</v>
      </c>
      <c r="G16" s="11">
        <v>14</v>
      </c>
    </row>
    <row r="17" spans="2:7" ht="14.25" customHeight="1">
      <c r="B17" s="11">
        <v>16</v>
      </c>
      <c r="C17" s="11">
        <v>16</v>
      </c>
      <c r="D17" s="1">
        <f>ROUND((E17+F17)/2,0)</f>
        <v>2579</v>
      </c>
      <c r="E17" s="12">
        <f t="shared" si="1"/>
        <v>2416.5597078940687</v>
      </c>
      <c r="F17" s="12">
        <f t="shared" si="2"/>
        <v>2742.0453609660744</v>
      </c>
      <c r="G17" s="11">
        <v>16</v>
      </c>
    </row>
    <row r="23" spans="4:5" ht="15" customHeight="1">
      <c r="D23" s="4" t="s">
        <v>17</v>
      </c>
      <c r="E23" s="5" t="s">
        <v>16</v>
      </c>
    </row>
    <row r="24" spans="4:5" ht="15" customHeight="1">
      <c r="D24" s="5" t="s">
        <v>24</v>
      </c>
      <c r="E24" s="5" t="s">
        <v>18</v>
      </c>
    </row>
    <row r="25" spans="4:5" ht="15" customHeight="1">
      <c r="D25" s="1">
        <f>1/D17</f>
        <v>0.00038774718883288094</v>
      </c>
      <c r="E25" s="11">
        <v>16</v>
      </c>
    </row>
    <row r="26" spans="4:5" ht="15" customHeight="1">
      <c r="D26" s="1">
        <f>1/D16</f>
        <v>0.0004938271604938272</v>
      </c>
      <c r="E26" s="11">
        <v>14</v>
      </c>
    </row>
    <row r="27" spans="4:5" ht="15" customHeight="1">
      <c r="D27" s="1">
        <f>1/D15</f>
        <v>0.0006531678641410843</v>
      </c>
      <c r="E27" s="11">
        <v>12</v>
      </c>
    </row>
    <row r="28" spans="4:5" ht="15" customHeight="1">
      <c r="D28" s="1">
        <f>1/D14</f>
        <v>0.0009090909090909091</v>
      </c>
      <c r="E28" s="11">
        <v>10</v>
      </c>
    </row>
    <row r="29" spans="4:5" ht="15" customHeight="1">
      <c r="D29" s="1">
        <f>1/D13</f>
        <v>0.0013623978201634877</v>
      </c>
      <c r="E29" s="11">
        <v>8</v>
      </c>
    </row>
    <row r="30" spans="4:5" ht="15" customHeight="1">
      <c r="D30" s="1">
        <f>1/D12</f>
        <v>0.0022935779816513763</v>
      </c>
      <c r="E30" s="11">
        <v>6</v>
      </c>
    </row>
    <row r="31" spans="4:5" ht="15" customHeight="1">
      <c r="D31" s="1">
        <f>1/D11</f>
        <v>0.004784688995215311</v>
      </c>
      <c r="E31" s="11">
        <v>4</v>
      </c>
    </row>
    <row r="32" spans="4:5" ht="15" customHeight="1">
      <c r="D32" s="1">
        <f>1/D10</f>
        <v>0.008064516129032258</v>
      </c>
      <c r="E32" s="11">
        <v>3</v>
      </c>
    </row>
    <row r="33" spans="4:5" ht="15" customHeight="1">
      <c r="D33" s="1">
        <f>1/D9</f>
        <v>0.011235955056179775</v>
      </c>
      <c r="E33" s="11">
        <v>2.5</v>
      </c>
    </row>
    <row r="34" spans="4:5" ht="15" customHeight="1">
      <c r="D34" s="1">
        <f>1/D8</f>
        <v>0.01694915254237288</v>
      </c>
      <c r="E34" s="11">
        <v>2</v>
      </c>
    </row>
    <row r="35" spans="4:5" ht="15" customHeight="1">
      <c r="D35" s="1">
        <f>1/D7</f>
        <v>0.02857142857142857</v>
      </c>
      <c r="E35" s="11">
        <v>1.5</v>
      </c>
    </row>
    <row r="36" spans="4:5" ht="15" customHeight="1">
      <c r="D36" s="1">
        <f>1/D6</f>
        <v>0.058823529411764705</v>
      </c>
      <c r="E36" s="11"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小林　幸博</Manager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制御弁サイジング</dc:title>
  <dc:subject/>
  <dc:creator/>
  <cp:keywords/>
  <dc:description/>
  <cp:lastModifiedBy> </cp:lastModifiedBy>
  <dcterms:created xsi:type="dcterms:W3CDTF">2009-02-11T05:56:21Z</dcterms:created>
  <dcterms:modified xsi:type="dcterms:W3CDTF">2009-02-14T09:07:22Z</dcterms:modified>
  <cp:category/>
  <cp:version/>
  <cp:contentType/>
  <cp:contentStatus/>
</cp:coreProperties>
</file>